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metcmn-my.sharepoint.com/personal/sara_maaske_metc_state_mn_us/Documents/Metropolitan Transportation Services/Reports/Route Performance Analysis/"/>
    </mc:Choice>
  </mc:AlternateContent>
  <xr:revisionPtr revIDLastSave="0" documentId="8_{049FA730-2E58-4B28-B8FF-9E007089CF41}" xr6:coauthVersionLast="47" xr6:coauthVersionMax="47" xr10:uidLastSave="{00000000-0000-0000-0000-000000000000}"/>
  <bookViews>
    <workbookView xWindow="1275" yWindow="-120" windowWidth="27645" windowHeight="16440" firstSheet="1" activeTab="4" xr2:uid="{00000000-000D-0000-FFFF-FFFF00000000}"/>
  </bookViews>
  <sheets>
    <sheet name="Table 1 Commuter &amp; Express Bus" sheetId="2" r:id="rId1"/>
    <sheet name="Table 2 Core Local Bus" sheetId="3" r:id="rId2"/>
    <sheet name="Table 3 Supporting Local Bus" sheetId="4" r:id="rId3"/>
    <sheet name="Table 4 Suburban Local Bus" sheetId="5" r:id="rId4"/>
    <sheet name="Table 5 ABRT" sheetId="6" r:id="rId5"/>
    <sheet name="Table 6 Highway BRT" sheetId="7" r:id="rId6"/>
    <sheet name="Table 7 LRT" sheetId="8" r:id="rId7"/>
    <sheet name="Subsidy 2" sheetId="15" state="hidden" r:id="rId8"/>
    <sheet name="Table 8 Commuter Rail" sheetId="9" r:id="rId9"/>
    <sheet name="Table 9 Gen DAR" sheetId="10" r:id="rId10"/>
    <sheet name="Table 10 ADA DAR" sheetId="11" r:id="rId11"/>
    <sheet name="Table 11 Vanpool" sheetId="12" r:id="rId12"/>
    <sheet name="All Routes" sheetId="1" r:id="rId13"/>
    <sheet name="Pivot" sheetId="13" state="hidden" r:id="rId14"/>
    <sheet name="Subsidy 1" sheetId="14" state="hidden" r:id="rId15"/>
    <sheet name="Productivity" sheetId="16" state="hidden" r:id="rId16"/>
    <sheet name="Trips" sheetId="17" state="hidden" r:id="rId17"/>
    <sheet name="In Service Hours" sheetId="18" state="hidden" r:id="rId18"/>
    <sheet name="Operating Cost" sheetId="19" state="hidden" r:id="rId19"/>
    <sheet name="System Subsidy" sheetId="20" state="hidden" r:id="rId20"/>
  </sheets>
  <externalReferences>
    <externalReference r:id="rId21"/>
  </externalReferences>
  <definedNames>
    <definedName name="_xlnm._FilterDatabase" localSheetId="12" hidden="1">'All Routes'!$A$1:$L$135</definedName>
    <definedName name="_xlnm.Print_Area" localSheetId="0">'Table 1 Commuter &amp; Express Bus'!$A$1:$M$78</definedName>
    <definedName name="_xlnm.Print_Area" localSheetId="10">'Table 10 ADA DAR'!$A$1:$M$5</definedName>
    <definedName name="_xlnm.Print_Area" localSheetId="11">'Table 11 Vanpool'!$A$1:$M$5</definedName>
    <definedName name="_xlnm.Print_Area" localSheetId="1">'Table 2 Core Local Bus'!$A$1:$M$88</definedName>
    <definedName name="_xlnm.Print_Area" localSheetId="2">'Table 3 Supporting Local Bus'!$A$1:$M$43</definedName>
    <definedName name="_xlnm.Print_Area" localSheetId="3">'Table 4 Suburban Local Bus'!$A$1:$M$89</definedName>
    <definedName name="_xlnm.Print_Area" localSheetId="4">'Table 5 ABRT'!$A$1:$M$16</definedName>
    <definedName name="_xlnm.Print_Area" localSheetId="5">'Table 6 Highway BRT'!$A$1:$M$7</definedName>
    <definedName name="_xlnm.Print_Area" localSheetId="6">'Table 7 LRT'!$A$1:$M$16</definedName>
    <definedName name="_xlnm.Print_Area" localSheetId="8">'Table 8 Commuter Rail'!$A$1:$M$5</definedName>
    <definedName name="_xlnm.Print_Area" localSheetId="9">'Table 9 Gen DAR'!$A$1:$M$15</definedName>
  </definedNames>
  <calcPr calcId="191028"/>
  <pivotCaches>
    <pivotCache cacheId="0" r:id="rId2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9" l="1"/>
  <c r="D9" i="19"/>
  <c r="E9" i="19"/>
  <c r="F9" i="19"/>
  <c r="G9" i="19"/>
  <c r="H9" i="19"/>
  <c r="I9" i="19"/>
  <c r="J9" i="19"/>
  <c r="K9" i="19"/>
  <c r="L9" i="19"/>
  <c r="M9" i="19"/>
  <c r="B9" i="19"/>
  <c r="N3" i="19"/>
  <c r="N4" i="19"/>
  <c r="N5" i="19"/>
  <c r="N6" i="19"/>
  <c r="N7" i="19"/>
  <c r="N8" i="19"/>
  <c r="N2" i="19"/>
  <c r="C9" i="18"/>
  <c r="D9" i="18"/>
  <c r="E9" i="18"/>
  <c r="F9" i="18"/>
  <c r="G9" i="18"/>
  <c r="H9" i="18"/>
  <c r="I9" i="18"/>
  <c r="J9" i="18"/>
  <c r="K9" i="18"/>
  <c r="L9" i="18"/>
  <c r="M9" i="18"/>
  <c r="B9" i="18"/>
  <c r="N3" i="18"/>
  <c r="N4" i="18"/>
  <c r="N5" i="18"/>
  <c r="N6" i="18"/>
  <c r="N7" i="18"/>
  <c r="N2" i="18"/>
  <c r="C94" i="15"/>
  <c r="C90" i="15"/>
  <c r="C82" i="15"/>
  <c r="C78" i="15"/>
  <c r="C74" i="15"/>
  <c r="C70" i="15"/>
  <c r="C66" i="15"/>
  <c r="C62" i="15"/>
  <c r="C58" i="15"/>
  <c r="C54" i="15"/>
  <c r="C50" i="15"/>
  <c r="C46" i="15"/>
  <c r="C42" i="15"/>
  <c r="C38" i="15"/>
  <c r="C34" i="15"/>
  <c r="C30" i="15"/>
  <c r="C26" i="15"/>
  <c r="C22" i="15"/>
  <c r="C18" i="15"/>
  <c r="C14" i="15"/>
  <c r="H22" i="15"/>
  <c r="H18" i="15"/>
  <c r="H14" i="15"/>
  <c r="H2" i="15"/>
  <c r="G18" i="15"/>
  <c r="G19" i="15"/>
  <c r="G20" i="15"/>
  <c r="G26" i="15"/>
  <c r="G27" i="15"/>
  <c r="G28" i="15"/>
  <c r="G30" i="15"/>
  <c r="G31" i="15"/>
  <c r="G32" i="15"/>
  <c r="G34" i="15"/>
  <c r="G35" i="15"/>
  <c r="G36" i="15"/>
  <c r="G50" i="15"/>
  <c r="G51" i="15"/>
  <c r="G52" i="15"/>
  <c r="G54" i="15"/>
  <c r="G55" i="15"/>
  <c r="G56" i="15"/>
  <c r="G58" i="15"/>
  <c r="G59" i="15"/>
  <c r="G60" i="15"/>
  <c r="G62" i="15"/>
  <c r="G63" i="15"/>
  <c r="G64" i="15"/>
  <c r="G66" i="15"/>
  <c r="G67" i="15"/>
  <c r="G68" i="15"/>
  <c r="G70" i="15"/>
  <c r="G71" i="15"/>
  <c r="G72" i="15"/>
  <c r="G74" i="15"/>
  <c r="G75" i="15"/>
  <c r="G76" i="15"/>
  <c r="G78" i="15"/>
  <c r="G79" i="15"/>
  <c r="G80" i="15"/>
  <c r="G82" i="15"/>
  <c r="G83" i="15"/>
  <c r="G84" i="15"/>
  <c r="G86" i="15"/>
  <c r="G87" i="15"/>
  <c r="G88" i="15"/>
  <c r="G90" i="15"/>
  <c r="G91" i="15"/>
  <c r="G92" i="15"/>
  <c r="G94" i="15"/>
  <c r="G95" i="15"/>
  <c r="G96" i="15"/>
  <c r="F97" i="15"/>
  <c r="F96" i="15"/>
  <c r="F95" i="15"/>
  <c r="F93" i="15"/>
  <c r="F92" i="15"/>
  <c r="F91" i="15"/>
  <c r="C86" i="15"/>
  <c r="F89" i="15" s="1"/>
  <c r="F85" i="15"/>
  <c r="F84" i="15"/>
  <c r="F83" i="15"/>
  <c r="F81" i="15"/>
  <c r="F80" i="15"/>
  <c r="F79" i="15"/>
  <c r="F77" i="15"/>
  <c r="F76" i="15"/>
  <c r="F75" i="15"/>
  <c r="F73" i="15"/>
  <c r="F72" i="15"/>
  <c r="F71" i="15"/>
  <c r="F69" i="15"/>
  <c r="F68" i="15"/>
  <c r="F67" i="15"/>
  <c r="F65" i="15"/>
  <c r="F64" i="15"/>
  <c r="F63" i="15"/>
  <c r="F61" i="15"/>
  <c r="F60" i="15"/>
  <c r="F59" i="15"/>
  <c r="F57" i="15"/>
  <c r="F56" i="15"/>
  <c r="F55" i="15"/>
  <c r="F53" i="15"/>
  <c r="F52" i="15"/>
  <c r="F51" i="15"/>
  <c r="F35" i="15"/>
  <c r="F36" i="15"/>
  <c r="F37" i="15"/>
  <c r="F31" i="15"/>
  <c r="F32" i="15"/>
  <c r="F33" i="15"/>
  <c r="F27" i="15"/>
  <c r="F28" i="15"/>
  <c r="F29" i="15"/>
  <c r="F23" i="15"/>
  <c r="G22" i="15" s="1"/>
  <c r="F24" i="15"/>
  <c r="G23" i="15" s="1"/>
  <c r="F25" i="15"/>
  <c r="G24" i="15" s="1"/>
  <c r="F19" i="15"/>
  <c r="F20" i="15"/>
  <c r="F21" i="15"/>
  <c r="F15" i="15"/>
  <c r="G14" i="15" s="1"/>
  <c r="F16" i="15"/>
  <c r="G15" i="15" s="1"/>
  <c r="F17" i="15"/>
  <c r="G16" i="15" s="1"/>
  <c r="F12" i="15"/>
  <c r="F13" i="15"/>
  <c r="G8" i="15"/>
  <c r="G12" i="15" s="1"/>
  <c r="F7" i="15"/>
  <c r="F11" i="15" s="1"/>
  <c r="F8" i="15"/>
  <c r="G7" i="15" s="1"/>
  <c r="G11" i="15" s="1"/>
  <c r="F9" i="15"/>
  <c r="F3" i="15"/>
  <c r="G2" i="15" s="1"/>
  <c r="F4" i="15"/>
  <c r="G3" i="15" s="1"/>
  <c r="F5" i="15"/>
  <c r="G4" i="15" s="1"/>
  <c r="C10" i="15"/>
  <c r="C6" i="15"/>
  <c r="C2" i="15"/>
  <c r="I11" i="14"/>
  <c r="H11" i="14"/>
  <c r="G11" i="14"/>
  <c r="F11" i="14"/>
  <c r="D11" i="14"/>
  <c r="C11" i="14"/>
  <c r="B11" i="14"/>
  <c r="I10" i="14"/>
  <c r="H10" i="14"/>
  <c r="G10" i="14"/>
  <c r="F10" i="14"/>
  <c r="D10" i="14"/>
  <c r="C10" i="14"/>
  <c r="B10" i="14"/>
  <c r="I9" i="14"/>
  <c r="F9" i="14"/>
  <c r="B9" i="14"/>
  <c r="I8" i="14"/>
  <c r="H8" i="14"/>
  <c r="G8" i="14"/>
  <c r="F8" i="14"/>
  <c r="D8" i="14"/>
  <c r="C8" i="14"/>
  <c r="B8" i="14"/>
  <c r="I7" i="14"/>
  <c r="G7" i="14"/>
  <c r="F7" i="14"/>
  <c r="C7" i="14"/>
  <c r="B7" i="14"/>
  <c r="I6" i="14"/>
  <c r="H6" i="14"/>
  <c r="G6" i="14"/>
  <c r="F6" i="14"/>
  <c r="D6" i="14"/>
  <c r="C6" i="14"/>
  <c r="B6" i="14"/>
  <c r="I5" i="14"/>
  <c r="H5" i="14"/>
  <c r="G5" i="14"/>
  <c r="F5" i="14"/>
  <c r="D5" i="14"/>
  <c r="C5" i="14"/>
  <c r="B5" i="14"/>
  <c r="I4" i="14"/>
  <c r="H4" i="14"/>
  <c r="G4" i="14"/>
  <c r="F4" i="14"/>
  <c r="D4" i="14"/>
  <c r="C4" i="14"/>
  <c r="B4" i="14"/>
  <c r="I3" i="14"/>
  <c r="H3" i="14"/>
  <c r="G3" i="14"/>
  <c r="F3" i="14"/>
  <c r="D3" i="14"/>
  <c r="C3" i="14"/>
  <c r="B3" i="14"/>
  <c r="E46" i="4"/>
  <c r="H30" i="15" s="1"/>
  <c r="E47" i="4"/>
  <c r="H34" i="15" s="1"/>
  <c r="E45" i="4"/>
  <c r="H26" i="15" s="1"/>
  <c r="D105" i="5"/>
  <c r="H42" i="15" s="1"/>
  <c r="D106" i="5"/>
  <c r="H46" i="15" s="1"/>
  <c r="D104" i="5"/>
  <c r="H38" i="15" s="1"/>
  <c r="D92" i="3"/>
  <c r="D91" i="3"/>
  <c r="D90" i="3"/>
  <c r="D82" i="2"/>
  <c r="D81" i="2"/>
  <c r="D80" i="2"/>
  <c r="B3" i="20"/>
  <c r="C3" i="20"/>
  <c r="D3" i="20"/>
  <c r="E3" i="20"/>
  <c r="F3" i="20"/>
  <c r="G3" i="20"/>
  <c r="H3" i="20"/>
  <c r="I3" i="20"/>
  <c r="B4" i="20"/>
  <c r="C4" i="20"/>
  <c r="D4" i="20"/>
  <c r="H4" i="20"/>
  <c r="J4" i="20"/>
  <c r="K4" i="20"/>
  <c r="L4" i="20"/>
  <c r="D5" i="20"/>
  <c r="H5" i="20"/>
  <c r="M5" i="20"/>
  <c r="H6" i="20"/>
  <c r="J6" i="20"/>
  <c r="H7" i="20"/>
  <c r="J7" i="20"/>
  <c r="D8" i="20"/>
  <c r="E8" i="20"/>
  <c r="H2" i="20"/>
  <c r="J2" i="20"/>
  <c r="M14" i="19"/>
  <c r="M15" i="19"/>
  <c r="M16" i="19"/>
  <c r="M17" i="19"/>
  <c r="M18" i="19"/>
  <c r="M13" i="19"/>
  <c r="C19" i="19"/>
  <c r="D19" i="19"/>
  <c r="E19" i="19"/>
  <c r="F19" i="19"/>
  <c r="F8" i="20" s="1"/>
  <c r="G19" i="19"/>
  <c r="H19" i="19"/>
  <c r="I19" i="19"/>
  <c r="J19" i="19"/>
  <c r="K19" i="19"/>
  <c r="L19" i="19"/>
  <c r="L8" i="20" s="1"/>
  <c r="B19" i="19"/>
  <c r="M3" i="19"/>
  <c r="M3" i="20" s="1"/>
  <c r="M4" i="19"/>
  <c r="M5" i="19"/>
  <c r="M6" i="19"/>
  <c r="M6" i="20" s="1"/>
  <c r="M7" i="19"/>
  <c r="M7" i="20" s="1"/>
  <c r="M2" i="19"/>
  <c r="M2" i="20" s="1"/>
  <c r="C8" i="19"/>
  <c r="C8" i="20" s="1"/>
  <c r="D8" i="19"/>
  <c r="E8" i="19"/>
  <c r="F8" i="19"/>
  <c r="G8" i="19"/>
  <c r="G8" i="20" s="1"/>
  <c r="H8" i="19"/>
  <c r="H8" i="20" s="1"/>
  <c r="I8" i="19"/>
  <c r="I8" i="20" s="1"/>
  <c r="J8" i="19"/>
  <c r="J8" i="20" s="1"/>
  <c r="K8" i="19"/>
  <c r="L8" i="19"/>
  <c r="B8" i="19"/>
  <c r="B8" i="20" s="1"/>
  <c r="C8" i="18"/>
  <c r="D8" i="18"/>
  <c r="E8" i="18"/>
  <c r="F8" i="18"/>
  <c r="G8" i="18"/>
  <c r="H8" i="18"/>
  <c r="I8" i="18"/>
  <c r="J8" i="18"/>
  <c r="K8" i="18"/>
  <c r="L8" i="18"/>
  <c r="B8" i="18"/>
  <c r="M3" i="18"/>
  <c r="M4" i="18"/>
  <c r="M5" i="18"/>
  <c r="M6" i="18"/>
  <c r="M7" i="18"/>
  <c r="M2" i="18"/>
  <c r="M3" i="17"/>
  <c r="M4" i="17"/>
  <c r="M5" i="17"/>
  <c r="M6" i="17"/>
  <c r="M7" i="17"/>
  <c r="M2" i="17"/>
  <c r="E8" i="17"/>
  <c r="F8" i="17"/>
  <c r="H8" i="17"/>
  <c r="I8" i="17"/>
  <c r="B8" i="17"/>
  <c r="J8" i="17"/>
  <c r="G8" i="17"/>
  <c r="D8" i="17"/>
  <c r="C8" i="17"/>
  <c r="L8" i="17"/>
  <c r="K8" i="17"/>
  <c r="M8" i="17" s="1"/>
  <c r="L5" i="12"/>
  <c r="J5" i="12"/>
  <c r="G5" i="12"/>
  <c r="L5" i="11"/>
  <c r="J5" i="11"/>
  <c r="G5" i="11"/>
  <c r="K7" i="10"/>
  <c r="K8" i="10"/>
  <c r="L6" i="10"/>
  <c r="L7" i="10"/>
  <c r="L8" i="10"/>
  <c r="L9" i="10"/>
  <c r="L5" i="10"/>
  <c r="J6" i="10"/>
  <c r="J7" i="10"/>
  <c r="J8" i="10"/>
  <c r="J9" i="10"/>
  <c r="J5" i="10"/>
  <c r="G6" i="10"/>
  <c r="G7" i="10"/>
  <c r="G8" i="10"/>
  <c r="G9" i="10"/>
  <c r="G5" i="10"/>
  <c r="L5" i="9"/>
  <c r="J5" i="9"/>
  <c r="G5" i="9"/>
  <c r="C5" i="9"/>
  <c r="L6" i="8"/>
  <c r="L7" i="8"/>
  <c r="L8" i="8"/>
  <c r="L9" i="8"/>
  <c r="L10" i="8"/>
  <c r="L5" i="8"/>
  <c r="J6" i="8"/>
  <c r="J7" i="8"/>
  <c r="J8" i="8"/>
  <c r="J9" i="8"/>
  <c r="J10" i="8"/>
  <c r="J5" i="8"/>
  <c r="G6" i="8"/>
  <c r="G7" i="8"/>
  <c r="G8" i="8"/>
  <c r="G9" i="8"/>
  <c r="G10" i="8"/>
  <c r="G5" i="8"/>
  <c r="C10" i="8"/>
  <c r="C9" i="8"/>
  <c r="C8" i="8"/>
  <c r="C7" i="8"/>
  <c r="C6" i="8"/>
  <c r="C5" i="8"/>
  <c r="K10" i="7"/>
  <c r="K9" i="7"/>
  <c r="K8" i="7"/>
  <c r="K7" i="7"/>
  <c r="K6" i="7"/>
  <c r="K5" i="7"/>
  <c r="H15" i="7"/>
  <c r="H14" i="7"/>
  <c r="H13" i="7"/>
  <c r="K15" i="7"/>
  <c r="K14" i="7"/>
  <c r="K13" i="7"/>
  <c r="L6" i="7"/>
  <c r="L7" i="7"/>
  <c r="L8" i="7"/>
  <c r="L9" i="7"/>
  <c r="L10" i="7"/>
  <c r="L5" i="7"/>
  <c r="J6" i="7"/>
  <c r="J7" i="7"/>
  <c r="J8" i="7"/>
  <c r="J9" i="7"/>
  <c r="J10" i="7"/>
  <c r="J5" i="7"/>
  <c r="G6" i="7"/>
  <c r="G7" i="7"/>
  <c r="G8" i="7"/>
  <c r="G9" i="7"/>
  <c r="G10" i="7"/>
  <c r="G5" i="7"/>
  <c r="C9" i="7"/>
  <c r="C7" i="7"/>
  <c r="C5" i="7"/>
  <c r="L6" i="6"/>
  <c r="L7" i="6"/>
  <c r="L8" i="6"/>
  <c r="L9" i="6"/>
  <c r="L10" i="6"/>
  <c r="L5" i="6"/>
  <c r="J6" i="6"/>
  <c r="J7" i="6"/>
  <c r="J8" i="6"/>
  <c r="J9" i="6"/>
  <c r="J10" i="6"/>
  <c r="J5" i="6"/>
  <c r="G6" i="6"/>
  <c r="G7" i="6"/>
  <c r="G8" i="6"/>
  <c r="G9" i="6"/>
  <c r="G10" i="6"/>
  <c r="G5" i="6"/>
  <c r="C10" i="6"/>
  <c r="C9" i="6"/>
  <c r="C8" i="6"/>
  <c r="C7" i="6"/>
  <c r="C6" i="6"/>
  <c r="C5" i="6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5" i="5"/>
  <c r="J6" i="5"/>
  <c r="J10" i="5"/>
  <c r="J12" i="5"/>
  <c r="J14" i="5"/>
  <c r="J18" i="5"/>
  <c r="J20" i="5"/>
  <c r="J22" i="5"/>
  <c r="J26" i="5"/>
  <c r="J28" i="5"/>
  <c r="J30" i="5"/>
  <c r="J34" i="5"/>
  <c r="J36" i="5"/>
  <c r="J38" i="5"/>
  <c r="J42" i="5"/>
  <c r="J44" i="5"/>
  <c r="J46" i="5"/>
  <c r="J50" i="5"/>
  <c r="J52" i="5"/>
  <c r="J54" i="5"/>
  <c r="J58" i="5"/>
  <c r="J60" i="5"/>
  <c r="J62" i="5"/>
  <c r="J66" i="5"/>
  <c r="J68" i="5"/>
  <c r="J70" i="5"/>
  <c r="J74" i="5"/>
  <c r="J76" i="5"/>
  <c r="J78" i="5"/>
  <c r="J82" i="5"/>
  <c r="J84" i="5"/>
  <c r="J86" i="5"/>
  <c r="J90" i="5"/>
  <c r="J92" i="5"/>
  <c r="J5" i="5"/>
  <c r="G6" i="5"/>
  <c r="G7" i="5"/>
  <c r="J7" i="5" s="1"/>
  <c r="G8" i="5"/>
  <c r="J8" i="5" s="1"/>
  <c r="G9" i="5"/>
  <c r="J9" i="5" s="1"/>
  <c r="G10" i="5"/>
  <c r="G11" i="5"/>
  <c r="J11" i="5" s="1"/>
  <c r="G12" i="5"/>
  <c r="G13" i="5"/>
  <c r="J13" i="5" s="1"/>
  <c r="G14" i="5"/>
  <c r="G15" i="5"/>
  <c r="J15" i="5" s="1"/>
  <c r="G16" i="5"/>
  <c r="J16" i="5" s="1"/>
  <c r="G17" i="5"/>
  <c r="J17" i="5" s="1"/>
  <c r="G18" i="5"/>
  <c r="G19" i="5"/>
  <c r="J19" i="5" s="1"/>
  <c r="G20" i="5"/>
  <c r="G21" i="5"/>
  <c r="J21" i="5" s="1"/>
  <c r="G22" i="5"/>
  <c r="G23" i="5"/>
  <c r="J23" i="5" s="1"/>
  <c r="G24" i="5"/>
  <c r="J24" i="5" s="1"/>
  <c r="G25" i="5"/>
  <c r="J25" i="5" s="1"/>
  <c r="G26" i="5"/>
  <c r="G27" i="5"/>
  <c r="J27" i="5" s="1"/>
  <c r="G28" i="5"/>
  <c r="G29" i="5"/>
  <c r="J29" i="5" s="1"/>
  <c r="G30" i="5"/>
  <c r="G31" i="5"/>
  <c r="J31" i="5" s="1"/>
  <c r="G32" i="5"/>
  <c r="J32" i="5" s="1"/>
  <c r="G33" i="5"/>
  <c r="J33" i="5" s="1"/>
  <c r="G34" i="5"/>
  <c r="G35" i="5"/>
  <c r="J35" i="5" s="1"/>
  <c r="G36" i="5"/>
  <c r="G37" i="5"/>
  <c r="J37" i="5" s="1"/>
  <c r="G38" i="5"/>
  <c r="G39" i="5"/>
  <c r="J39" i="5" s="1"/>
  <c r="G40" i="5"/>
  <c r="J40" i="5" s="1"/>
  <c r="G41" i="5"/>
  <c r="J41" i="5" s="1"/>
  <c r="G42" i="5"/>
  <c r="G43" i="5"/>
  <c r="J43" i="5" s="1"/>
  <c r="G44" i="5"/>
  <c r="G45" i="5"/>
  <c r="J45" i="5" s="1"/>
  <c r="G46" i="5"/>
  <c r="G47" i="5"/>
  <c r="J47" i="5" s="1"/>
  <c r="G48" i="5"/>
  <c r="J48" i="5" s="1"/>
  <c r="G49" i="5"/>
  <c r="J49" i="5" s="1"/>
  <c r="G50" i="5"/>
  <c r="G51" i="5"/>
  <c r="J51" i="5" s="1"/>
  <c r="G52" i="5"/>
  <c r="G53" i="5"/>
  <c r="J53" i="5" s="1"/>
  <c r="G54" i="5"/>
  <c r="G55" i="5"/>
  <c r="J55" i="5" s="1"/>
  <c r="G56" i="5"/>
  <c r="J56" i="5" s="1"/>
  <c r="G57" i="5"/>
  <c r="J57" i="5" s="1"/>
  <c r="G58" i="5"/>
  <c r="G59" i="5"/>
  <c r="J59" i="5" s="1"/>
  <c r="G60" i="5"/>
  <c r="G61" i="5"/>
  <c r="J61" i="5" s="1"/>
  <c r="G62" i="5"/>
  <c r="G63" i="5"/>
  <c r="J63" i="5" s="1"/>
  <c r="G64" i="5"/>
  <c r="J64" i="5" s="1"/>
  <c r="G65" i="5"/>
  <c r="J65" i="5" s="1"/>
  <c r="G66" i="5"/>
  <c r="G67" i="5"/>
  <c r="J67" i="5" s="1"/>
  <c r="G68" i="5"/>
  <c r="G69" i="5"/>
  <c r="J69" i="5" s="1"/>
  <c r="G70" i="5"/>
  <c r="G71" i="5"/>
  <c r="J71" i="5" s="1"/>
  <c r="G72" i="5"/>
  <c r="J72" i="5" s="1"/>
  <c r="G73" i="5"/>
  <c r="J73" i="5" s="1"/>
  <c r="G74" i="5"/>
  <c r="G75" i="5"/>
  <c r="J75" i="5" s="1"/>
  <c r="G76" i="5"/>
  <c r="G77" i="5"/>
  <c r="J77" i="5" s="1"/>
  <c r="G78" i="5"/>
  <c r="G79" i="5"/>
  <c r="J79" i="5" s="1"/>
  <c r="G80" i="5"/>
  <c r="J80" i="5" s="1"/>
  <c r="G81" i="5"/>
  <c r="J81" i="5" s="1"/>
  <c r="G82" i="5"/>
  <c r="G83" i="5"/>
  <c r="J83" i="5" s="1"/>
  <c r="G84" i="5"/>
  <c r="G85" i="5"/>
  <c r="J85" i="5" s="1"/>
  <c r="G86" i="5"/>
  <c r="G87" i="5"/>
  <c r="J87" i="5" s="1"/>
  <c r="G88" i="5"/>
  <c r="J88" i="5" s="1"/>
  <c r="G89" i="5"/>
  <c r="J89" i="5" s="1"/>
  <c r="G90" i="5"/>
  <c r="G91" i="5"/>
  <c r="J91" i="5" s="1"/>
  <c r="G92" i="5"/>
  <c r="G93" i="5"/>
  <c r="J93" i="5" s="1"/>
  <c r="G5" i="5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5" i="4"/>
  <c r="J15" i="2"/>
  <c r="J47" i="2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5" i="4"/>
  <c r="C38" i="4"/>
  <c r="C37" i="4"/>
  <c r="C36" i="4"/>
  <c r="C35" i="4"/>
  <c r="C34" i="4"/>
  <c r="C33" i="4"/>
  <c r="C32" i="4"/>
  <c r="C31" i="4"/>
  <c r="C30" i="4"/>
  <c r="C29" i="4"/>
  <c r="C28" i="4"/>
  <c r="C27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5" i="3"/>
  <c r="G6" i="3"/>
  <c r="J6" i="3" s="1"/>
  <c r="G7" i="3"/>
  <c r="J7" i="3" s="1"/>
  <c r="G8" i="3"/>
  <c r="J8" i="3" s="1"/>
  <c r="G9" i="3"/>
  <c r="J9" i="3" s="1"/>
  <c r="G10" i="3"/>
  <c r="J10" i="3" s="1"/>
  <c r="G11" i="3"/>
  <c r="J11" i="3" s="1"/>
  <c r="G12" i="3"/>
  <c r="J12" i="3" s="1"/>
  <c r="G13" i="3"/>
  <c r="J13" i="3" s="1"/>
  <c r="G14" i="3"/>
  <c r="J14" i="3" s="1"/>
  <c r="G15" i="3"/>
  <c r="J15" i="3" s="1"/>
  <c r="G16" i="3"/>
  <c r="J16" i="3" s="1"/>
  <c r="G17" i="3"/>
  <c r="J17" i="3" s="1"/>
  <c r="G18" i="3"/>
  <c r="J18" i="3" s="1"/>
  <c r="G19" i="3"/>
  <c r="J19" i="3" s="1"/>
  <c r="G20" i="3"/>
  <c r="J20" i="3" s="1"/>
  <c r="G21" i="3"/>
  <c r="J21" i="3" s="1"/>
  <c r="G22" i="3"/>
  <c r="J22" i="3" s="1"/>
  <c r="G23" i="3"/>
  <c r="J23" i="3" s="1"/>
  <c r="G24" i="3"/>
  <c r="J24" i="3" s="1"/>
  <c r="G25" i="3"/>
  <c r="J25" i="3" s="1"/>
  <c r="G26" i="3"/>
  <c r="J26" i="3" s="1"/>
  <c r="G27" i="3"/>
  <c r="J27" i="3" s="1"/>
  <c r="G28" i="3"/>
  <c r="J28" i="3" s="1"/>
  <c r="G29" i="3"/>
  <c r="J29" i="3" s="1"/>
  <c r="G30" i="3"/>
  <c r="J30" i="3" s="1"/>
  <c r="G31" i="3"/>
  <c r="J31" i="3" s="1"/>
  <c r="G32" i="3"/>
  <c r="J32" i="3" s="1"/>
  <c r="G33" i="3"/>
  <c r="J33" i="3" s="1"/>
  <c r="G34" i="3"/>
  <c r="J34" i="3" s="1"/>
  <c r="G35" i="3"/>
  <c r="J35" i="3" s="1"/>
  <c r="G36" i="3"/>
  <c r="J36" i="3" s="1"/>
  <c r="G37" i="3"/>
  <c r="J37" i="3" s="1"/>
  <c r="G38" i="3"/>
  <c r="J38" i="3" s="1"/>
  <c r="G39" i="3"/>
  <c r="J39" i="3" s="1"/>
  <c r="G40" i="3"/>
  <c r="J40" i="3" s="1"/>
  <c r="G41" i="3"/>
  <c r="J41" i="3" s="1"/>
  <c r="G42" i="3"/>
  <c r="J42" i="3" s="1"/>
  <c r="G43" i="3"/>
  <c r="J43" i="3" s="1"/>
  <c r="G44" i="3"/>
  <c r="J44" i="3" s="1"/>
  <c r="G45" i="3"/>
  <c r="J45" i="3" s="1"/>
  <c r="G46" i="3"/>
  <c r="J46" i="3" s="1"/>
  <c r="G47" i="3"/>
  <c r="J47" i="3" s="1"/>
  <c r="G48" i="3"/>
  <c r="J48" i="3" s="1"/>
  <c r="G49" i="3"/>
  <c r="J49" i="3" s="1"/>
  <c r="G50" i="3"/>
  <c r="J50" i="3" s="1"/>
  <c r="G51" i="3"/>
  <c r="J51" i="3" s="1"/>
  <c r="G52" i="3"/>
  <c r="J52" i="3" s="1"/>
  <c r="G53" i="3"/>
  <c r="J53" i="3" s="1"/>
  <c r="G54" i="3"/>
  <c r="J54" i="3" s="1"/>
  <c r="G55" i="3"/>
  <c r="J55" i="3" s="1"/>
  <c r="G56" i="3"/>
  <c r="J56" i="3" s="1"/>
  <c r="G57" i="3"/>
  <c r="J57" i="3" s="1"/>
  <c r="G58" i="3"/>
  <c r="J58" i="3" s="1"/>
  <c r="G59" i="3"/>
  <c r="J59" i="3" s="1"/>
  <c r="G60" i="3"/>
  <c r="J60" i="3" s="1"/>
  <c r="G61" i="3"/>
  <c r="J61" i="3" s="1"/>
  <c r="G62" i="3"/>
  <c r="J62" i="3" s="1"/>
  <c r="G63" i="3"/>
  <c r="J63" i="3" s="1"/>
  <c r="G64" i="3"/>
  <c r="J64" i="3" s="1"/>
  <c r="G65" i="3"/>
  <c r="J65" i="3" s="1"/>
  <c r="G66" i="3"/>
  <c r="J66" i="3" s="1"/>
  <c r="G67" i="3"/>
  <c r="J67" i="3" s="1"/>
  <c r="G68" i="3"/>
  <c r="J68" i="3" s="1"/>
  <c r="G69" i="3"/>
  <c r="J69" i="3" s="1"/>
  <c r="G70" i="3"/>
  <c r="J70" i="3" s="1"/>
  <c r="G71" i="3"/>
  <c r="J71" i="3" s="1"/>
  <c r="G72" i="3"/>
  <c r="J72" i="3" s="1"/>
  <c r="G73" i="3"/>
  <c r="J73" i="3" s="1"/>
  <c r="G74" i="3"/>
  <c r="J74" i="3" s="1"/>
  <c r="G75" i="3"/>
  <c r="J75" i="3" s="1"/>
  <c r="G76" i="3"/>
  <c r="J76" i="3" s="1"/>
  <c r="G77" i="3"/>
  <c r="J77" i="3" s="1"/>
  <c r="G78" i="3"/>
  <c r="J78" i="3" s="1"/>
  <c r="G79" i="3"/>
  <c r="J79" i="3" s="1"/>
  <c r="G80" i="3"/>
  <c r="J80" i="3" s="1"/>
  <c r="G81" i="3"/>
  <c r="J81" i="3" s="1"/>
  <c r="G82" i="3"/>
  <c r="J82" i="3" s="1"/>
  <c r="G5" i="3"/>
  <c r="J5" i="3" s="1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G6" i="2"/>
  <c r="J6" i="2" s="1"/>
  <c r="G7" i="2"/>
  <c r="J7" i="2" s="1"/>
  <c r="G8" i="2"/>
  <c r="J8" i="2" s="1"/>
  <c r="G9" i="2"/>
  <c r="J9" i="2" s="1"/>
  <c r="G11" i="2"/>
  <c r="J11" i="2" s="1"/>
  <c r="G12" i="2"/>
  <c r="J12" i="2" s="1"/>
  <c r="G13" i="2"/>
  <c r="J13" i="2" s="1"/>
  <c r="G14" i="2"/>
  <c r="J14" i="2" s="1"/>
  <c r="G15" i="2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5" i="2"/>
  <c r="J5" i="2" s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5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F10" i="2"/>
  <c r="G10" i="2" s="1"/>
  <c r="J10" i="2" s="1"/>
  <c r="G6" i="15" l="1"/>
  <c r="G10" i="15" s="1"/>
  <c r="K8" i="20"/>
  <c r="N4" i="17"/>
  <c r="N3" i="17"/>
  <c r="D9" i="17"/>
  <c r="L9" i="17"/>
  <c r="E9" i="17"/>
  <c r="M9" i="17"/>
  <c r="N5" i="17"/>
  <c r="F9" i="17"/>
  <c r="B9" i="17"/>
  <c r="N6" i="17"/>
  <c r="G9" i="17"/>
  <c r="N7" i="17"/>
  <c r="H9" i="17"/>
  <c r="N8" i="17"/>
  <c r="I9" i="17"/>
  <c r="N2" i="17"/>
  <c r="J9" i="17"/>
  <c r="C9" i="17"/>
  <c r="K9" i="17"/>
  <c r="M4" i="20"/>
  <c r="F87" i="15"/>
  <c r="F88" i="15"/>
  <c r="G78" i="2"/>
  <c r="M19" i="19"/>
  <c r="M8" i="19"/>
  <c r="M8" i="18"/>
  <c r="I14" i="7"/>
  <c r="J14" i="7"/>
  <c r="I13" i="7"/>
  <c r="I15" i="7"/>
  <c r="J13" i="7"/>
  <c r="J15" i="7"/>
  <c r="M8" i="20" l="1"/>
  <c r="I175" i="1"/>
  <c r="J175" i="1" s="1"/>
  <c r="K175" i="1"/>
  <c r="L175" i="1"/>
  <c r="I219" i="1"/>
  <c r="J219" i="1" s="1"/>
  <c r="K219" i="1"/>
  <c r="L219" i="1"/>
  <c r="I220" i="1"/>
  <c r="J220" i="1" s="1"/>
  <c r="K220" i="1"/>
  <c r="L220" i="1"/>
  <c r="I221" i="1"/>
  <c r="J221" i="1" s="1"/>
  <c r="K221" i="1"/>
  <c r="L221" i="1"/>
  <c r="I222" i="1"/>
  <c r="J222" i="1" s="1"/>
  <c r="K222" i="1"/>
  <c r="L222" i="1"/>
  <c r="I223" i="1"/>
  <c r="J223" i="1" s="1"/>
  <c r="K223" i="1"/>
  <c r="L223" i="1"/>
  <c r="I224" i="1"/>
  <c r="J224" i="1" s="1"/>
  <c r="K224" i="1"/>
  <c r="L224" i="1"/>
  <c r="I225" i="1"/>
  <c r="J225" i="1" s="1"/>
  <c r="K225" i="1"/>
  <c r="L225" i="1"/>
  <c r="I226" i="1"/>
  <c r="J226" i="1" s="1"/>
  <c r="K226" i="1"/>
  <c r="L226" i="1"/>
  <c r="I25" i="1"/>
  <c r="J25" i="1" s="1"/>
  <c r="K25" i="1"/>
  <c r="L25" i="1"/>
  <c r="I26" i="1"/>
  <c r="J26" i="1" s="1"/>
  <c r="K26" i="1"/>
  <c r="L26" i="1"/>
  <c r="I27" i="1"/>
  <c r="J27" i="1" s="1"/>
  <c r="K27" i="1"/>
  <c r="L27" i="1"/>
  <c r="I28" i="1"/>
  <c r="J28" i="1" s="1"/>
  <c r="K28" i="1"/>
  <c r="L28" i="1"/>
  <c r="I29" i="1"/>
  <c r="J29" i="1" s="1"/>
  <c r="K29" i="1"/>
  <c r="L29" i="1"/>
  <c r="I30" i="1"/>
  <c r="J30" i="1" s="1"/>
  <c r="K30" i="1"/>
  <c r="L30" i="1"/>
  <c r="I31" i="1"/>
  <c r="J31" i="1" s="1"/>
  <c r="K31" i="1"/>
  <c r="L31" i="1"/>
  <c r="I32" i="1"/>
  <c r="J32" i="1" s="1"/>
  <c r="K32" i="1"/>
  <c r="L32" i="1"/>
  <c r="I33" i="1"/>
  <c r="J33" i="1" s="1"/>
  <c r="K33" i="1"/>
  <c r="L33" i="1"/>
  <c r="I34" i="1"/>
  <c r="J34" i="1" s="1"/>
  <c r="K34" i="1"/>
  <c r="L34" i="1"/>
  <c r="I227" i="1"/>
  <c r="J227" i="1" s="1"/>
  <c r="K227" i="1"/>
  <c r="L227" i="1"/>
  <c r="I35" i="1"/>
  <c r="J35" i="1" s="1"/>
  <c r="K35" i="1"/>
  <c r="L35" i="1"/>
  <c r="I36" i="1"/>
  <c r="J36" i="1" s="1"/>
  <c r="K36" i="1"/>
  <c r="L36" i="1"/>
  <c r="I37" i="1"/>
  <c r="J37" i="1" s="1"/>
  <c r="K37" i="1"/>
  <c r="L37" i="1"/>
  <c r="I228" i="1"/>
  <c r="J228" i="1" s="1"/>
  <c r="K228" i="1"/>
  <c r="L228" i="1"/>
  <c r="I38" i="1"/>
  <c r="J38" i="1" s="1"/>
  <c r="K38" i="1"/>
  <c r="L38" i="1"/>
  <c r="I229" i="1"/>
  <c r="J229" i="1" s="1"/>
  <c r="K229" i="1"/>
  <c r="L229" i="1"/>
  <c r="I230" i="1"/>
  <c r="J230" i="1" s="1"/>
  <c r="K230" i="1"/>
  <c r="L230" i="1"/>
  <c r="I231" i="1"/>
  <c r="J231" i="1" s="1"/>
  <c r="K231" i="1"/>
  <c r="L231" i="1"/>
  <c r="I232" i="1"/>
  <c r="J232" i="1" s="1"/>
  <c r="K232" i="1"/>
  <c r="L232" i="1"/>
  <c r="I233" i="1"/>
  <c r="J233" i="1" s="1"/>
  <c r="K233" i="1"/>
  <c r="L233" i="1"/>
  <c r="I234" i="1"/>
  <c r="J234" i="1" s="1"/>
  <c r="K234" i="1"/>
  <c r="L234" i="1"/>
  <c r="I235" i="1"/>
  <c r="J235" i="1" s="1"/>
  <c r="K235" i="1"/>
  <c r="L235" i="1"/>
  <c r="I39" i="1"/>
  <c r="J39" i="1" s="1"/>
  <c r="K39" i="1"/>
  <c r="L39" i="1"/>
  <c r="I236" i="1"/>
  <c r="J236" i="1" s="1"/>
  <c r="K236" i="1"/>
  <c r="L236" i="1"/>
  <c r="I237" i="1"/>
  <c r="J237" i="1" s="1"/>
  <c r="K237" i="1"/>
  <c r="L237" i="1"/>
  <c r="I238" i="1"/>
  <c r="J238" i="1" s="1"/>
  <c r="K238" i="1"/>
  <c r="L238" i="1"/>
  <c r="I239" i="1"/>
  <c r="J239" i="1" s="1"/>
  <c r="K239" i="1"/>
  <c r="L239" i="1"/>
  <c r="I240" i="1"/>
  <c r="J240" i="1" s="1"/>
  <c r="K240" i="1"/>
  <c r="L240" i="1"/>
  <c r="I241" i="1"/>
  <c r="J241" i="1" s="1"/>
  <c r="K241" i="1"/>
  <c r="L241" i="1"/>
  <c r="I242" i="1"/>
  <c r="J242" i="1" s="1"/>
  <c r="K242" i="1"/>
  <c r="L242" i="1"/>
  <c r="I243" i="1"/>
  <c r="J243" i="1" s="1"/>
  <c r="K243" i="1"/>
  <c r="L243" i="1"/>
  <c r="I40" i="1"/>
  <c r="J40" i="1" s="1"/>
  <c r="K40" i="1"/>
  <c r="L40" i="1"/>
  <c r="I244" i="1"/>
  <c r="J244" i="1" s="1"/>
  <c r="K244" i="1"/>
  <c r="L244" i="1"/>
  <c r="I245" i="1"/>
  <c r="J245" i="1" s="1"/>
  <c r="K245" i="1"/>
  <c r="L245" i="1"/>
  <c r="L173" i="1"/>
  <c r="K173" i="1"/>
  <c r="I173" i="1"/>
  <c r="J173" i="1" s="1"/>
  <c r="C173" i="1"/>
  <c r="L172" i="1"/>
  <c r="K172" i="1"/>
  <c r="I172" i="1"/>
  <c r="J172" i="1" s="1"/>
  <c r="C172" i="1"/>
  <c r="L171" i="1"/>
  <c r="K171" i="1"/>
  <c r="I171" i="1"/>
  <c r="J171" i="1" s="1"/>
  <c r="C171" i="1"/>
  <c r="L170" i="1"/>
  <c r="K170" i="1"/>
  <c r="I170" i="1"/>
  <c r="J170" i="1" s="1"/>
  <c r="C170" i="1"/>
  <c r="L169" i="1"/>
  <c r="K169" i="1"/>
  <c r="I169" i="1"/>
  <c r="J169" i="1" s="1"/>
  <c r="C169" i="1"/>
  <c r="L168" i="1"/>
  <c r="K168" i="1"/>
  <c r="I168" i="1"/>
  <c r="J168" i="1" s="1"/>
  <c r="C168" i="1"/>
  <c r="L84" i="1"/>
  <c r="K84" i="1"/>
  <c r="I84" i="1"/>
  <c r="J84" i="1" s="1"/>
  <c r="C84" i="1"/>
  <c r="L8" i="1"/>
  <c r="K8" i="1"/>
  <c r="I8" i="1"/>
  <c r="J8" i="1" s="1"/>
  <c r="C8" i="1"/>
  <c r="L7" i="1"/>
  <c r="K7" i="1"/>
  <c r="I7" i="1"/>
  <c r="J7" i="1" s="1"/>
  <c r="C7" i="1"/>
  <c r="L14" i="1"/>
  <c r="K14" i="1"/>
  <c r="I14" i="1"/>
  <c r="J14" i="1" s="1"/>
  <c r="L13" i="1"/>
  <c r="K13" i="1"/>
  <c r="I13" i="1"/>
  <c r="J13" i="1" s="1"/>
  <c r="C13" i="1"/>
  <c r="L264" i="1"/>
  <c r="K264" i="1"/>
  <c r="I264" i="1"/>
  <c r="J264" i="1" s="1"/>
  <c r="C264" i="1"/>
  <c r="L263" i="1"/>
  <c r="K263" i="1"/>
  <c r="I263" i="1"/>
  <c r="J263" i="1" s="1"/>
  <c r="C263" i="1"/>
  <c r="L262" i="1"/>
  <c r="K262" i="1"/>
  <c r="I262" i="1"/>
  <c r="J262" i="1" s="1"/>
  <c r="C262" i="1"/>
  <c r="L261" i="1"/>
  <c r="K261" i="1"/>
  <c r="I261" i="1"/>
  <c r="J261" i="1" s="1"/>
  <c r="C261" i="1"/>
  <c r="L78" i="1"/>
  <c r="K78" i="1"/>
  <c r="I78" i="1"/>
  <c r="J78" i="1" s="1"/>
  <c r="C78" i="1"/>
  <c r="L260" i="1"/>
  <c r="K260" i="1"/>
  <c r="I260" i="1"/>
  <c r="J260" i="1" s="1"/>
  <c r="C260" i="1"/>
  <c r="L259" i="1"/>
  <c r="K259" i="1"/>
  <c r="I259" i="1"/>
  <c r="J259" i="1" s="1"/>
  <c r="C259" i="1"/>
  <c r="L162" i="1"/>
  <c r="K162" i="1"/>
  <c r="I162" i="1"/>
  <c r="J162" i="1" s="1"/>
  <c r="C162" i="1"/>
  <c r="L161" i="1"/>
  <c r="K161" i="1"/>
  <c r="I161" i="1"/>
  <c r="J161" i="1" s="1"/>
  <c r="C161" i="1"/>
  <c r="L160" i="1"/>
  <c r="K160" i="1"/>
  <c r="I160" i="1"/>
  <c r="J160" i="1" s="1"/>
  <c r="C160" i="1"/>
  <c r="L159" i="1"/>
  <c r="K159" i="1"/>
  <c r="I159" i="1"/>
  <c r="J159" i="1" s="1"/>
  <c r="C159" i="1"/>
  <c r="L298" i="1"/>
  <c r="K298" i="1"/>
  <c r="I298" i="1"/>
  <c r="J298" i="1" s="1"/>
  <c r="C298" i="1"/>
  <c r="L158" i="1"/>
  <c r="K158" i="1"/>
  <c r="I158" i="1"/>
  <c r="J158" i="1" s="1"/>
  <c r="C158" i="1"/>
  <c r="L157" i="1"/>
  <c r="K157" i="1"/>
  <c r="I157" i="1"/>
  <c r="J157" i="1" s="1"/>
  <c r="C157" i="1"/>
  <c r="L156" i="1"/>
  <c r="K156" i="1"/>
  <c r="I156" i="1"/>
  <c r="J156" i="1" s="1"/>
  <c r="C156" i="1"/>
  <c r="L155" i="1"/>
  <c r="K155" i="1"/>
  <c r="I155" i="1"/>
  <c r="J155" i="1" s="1"/>
  <c r="C155" i="1"/>
  <c r="L297" i="1"/>
  <c r="K297" i="1"/>
  <c r="I297" i="1"/>
  <c r="J297" i="1" s="1"/>
  <c r="C297" i="1"/>
  <c r="L296" i="1"/>
  <c r="K296" i="1"/>
  <c r="I296" i="1"/>
  <c r="J296" i="1" s="1"/>
  <c r="C296" i="1"/>
  <c r="L295" i="1"/>
  <c r="K295" i="1"/>
  <c r="I295" i="1"/>
  <c r="J295" i="1" s="1"/>
  <c r="C295" i="1"/>
  <c r="L154" i="1"/>
  <c r="K154" i="1"/>
  <c r="I154" i="1"/>
  <c r="J154" i="1" s="1"/>
  <c r="C154" i="1"/>
  <c r="L153" i="1"/>
  <c r="K153" i="1"/>
  <c r="I153" i="1"/>
  <c r="J153" i="1" s="1"/>
  <c r="C153" i="1"/>
  <c r="L152" i="1"/>
  <c r="K152" i="1"/>
  <c r="I152" i="1"/>
  <c r="J152" i="1" s="1"/>
  <c r="C152" i="1"/>
  <c r="L151" i="1"/>
  <c r="K151" i="1"/>
  <c r="I151" i="1"/>
  <c r="J151" i="1" s="1"/>
  <c r="C151" i="1"/>
  <c r="L150" i="1"/>
  <c r="K150" i="1"/>
  <c r="I150" i="1"/>
  <c r="J150" i="1" s="1"/>
  <c r="C150" i="1"/>
  <c r="L149" i="1"/>
  <c r="K149" i="1"/>
  <c r="I149" i="1"/>
  <c r="J149" i="1" s="1"/>
  <c r="C149" i="1"/>
  <c r="L148" i="1"/>
  <c r="K148" i="1"/>
  <c r="I148" i="1"/>
  <c r="J148" i="1" s="1"/>
  <c r="C148" i="1"/>
  <c r="L147" i="1"/>
  <c r="K147" i="1"/>
  <c r="I147" i="1"/>
  <c r="J147" i="1" s="1"/>
  <c r="C147" i="1"/>
  <c r="L146" i="1"/>
  <c r="K146" i="1"/>
  <c r="I146" i="1"/>
  <c r="J146" i="1" s="1"/>
  <c r="C146" i="1"/>
  <c r="L145" i="1"/>
  <c r="K145" i="1"/>
  <c r="I145" i="1"/>
  <c r="J145" i="1" s="1"/>
  <c r="C145" i="1"/>
  <c r="L144" i="1"/>
  <c r="K144" i="1"/>
  <c r="I144" i="1"/>
  <c r="J144" i="1" s="1"/>
  <c r="C144" i="1"/>
  <c r="L143" i="1"/>
  <c r="K143" i="1"/>
  <c r="I143" i="1"/>
  <c r="J143" i="1" s="1"/>
  <c r="C143" i="1"/>
  <c r="L142" i="1"/>
  <c r="K142" i="1"/>
  <c r="I142" i="1"/>
  <c r="J142" i="1" s="1"/>
  <c r="C142" i="1"/>
  <c r="L141" i="1"/>
  <c r="K141" i="1"/>
  <c r="I141" i="1"/>
  <c r="J141" i="1" s="1"/>
  <c r="C141" i="1"/>
  <c r="L140" i="1"/>
  <c r="K140" i="1"/>
  <c r="I140" i="1"/>
  <c r="J140" i="1" s="1"/>
  <c r="C140" i="1"/>
  <c r="L6" i="1"/>
  <c r="K6" i="1"/>
  <c r="I6" i="1"/>
  <c r="J6" i="1" s="1"/>
  <c r="C6" i="1"/>
  <c r="L5" i="1"/>
  <c r="K5" i="1"/>
  <c r="I5" i="1"/>
  <c r="J5" i="1" s="1"/>
  <c r="C5" i="1"/>
  <c r="L12" i="1"/>
  <c r="K12" i="1"/>
  <c r="I12" i="1"/>
  <c r="J12" i="1" s="1"/>
  <c r="L11" i="1"/>
  <c r="K11" i="1"/>
  <c r="I11" i="1"/>
  <c r="J11" i="1" s="1"/>
  <c r="C11" i="1"/>
  <c r="L77" i="1"/>
  <c r="K77" i="1"/>
  <c r="I77" i="1"/>
  <c r="J77" i="1" s="1"/>
  <c r="C77" i="1"/>
  <c r="L258" i="1"/>
  <c r="K258" i="1"/>
  <c r="I258" i="1"/>
  <c r="J258" i="1" s="1"/>
  <c r="C258" i="1"/>
  <c r="L257" i="1"/>
  <c r="K257" i="1"/>
  <c r="I257" i="1"/>
  <c r="J257" i="1" s="1"/>
  <c r="C257" i="1"/>
  <c r="L256" i="1"/>
  <c r="K256" i="1"/>
  <c r="I256" i="1"/>
  <c r="J256" i="1" s="1"/>
  <c r="C256" i="1"/>
  <c r="L255" i="1"/>
  <c r="K255" i="1"/>
  <c r="I255" i="1"/>
  <c r="J255" i="1" s="1"/>
  <c r="C255" i="1"/>
  <c r="L76" i="1"/>
  <c r="K76" i="1"/>
  <c r="I76" i="1"/>
  <c r="J76" i="1" s="1"/>
  <c r="C76" i="1"/>
  <c r="L254" i="1"/>
  <c r="K254" i="1"/>
  <c r="I254" i="1"/>
  <c r="J254" i="1" s="1"/>
  <c r="C254" i="1"/>
  <c r="L253" i="1"/>
  <c r="K253" i="1"/>
  <c r="I253" i="1"/>
  <c r="J253" i="1" s="1"/>
  <c r="C253" i="1"/>
  <c r="L139" i="1"/>
  <c r="K139" i="1"/>
  <c r="I139" i="1"/>
  <c r="J139" i="1" s="1"/>
  <c r="C139" i="1"/>
  <c r="L138" i="1"/>
  <c r="K138" i="1"/>
  <c r="I138" i="1"/>
  <c r="J138" i="1" s="1"/>
  <c r="C138" i="1"/>
  <c r="L137" i="1"/>
  <c r="K137" i="1"/>
  <c r="I137" i="1"/>
  <c r="J137" i="1" s="1"/>
  <c r="C137" i="1"/>
  <c r="L136" i="1"/>
  <c r="K136" i="1"/>
  <c r="I136" i="1"/>
  <c r="J136" i="1" s="1"/>
  <c r="C136" i="1"/>
  <c r="L294" i="1"/>
  <c r="K294" i="1"/>
  <c r="I294" i="1"/>
  <c r="J294" i="1" s="1"/>
  <c r="C294" i="1"/>
  <c r="L135" i="1"/>
  <c r="K135" i="1"/>
  <c r="I135" i="1"/>
  <c r="J135" i="1" s="1"/>
  <c r="C135" i="1"/>
  <c r="L134" i="1"/>
  <c r="K134" i="1"/>
  <c r="I134" i="1"/>
  <c r="J134" i="1" s="1"/>
  <c r="C134" i="1"/>
  <c r="L133" i="1"/>
  <c r="K133" i="1"/>
  <c r="I133" i="1"/>
  <c r="J133" i="1" s="1"/>
  <c r="C133" i="1"/>
  <c r="L132" i="1"/>
  <c r="K132" i="1"/>
  <c r="I132" i="1"/>
  <c r="J132" i="1" s="1"/>
  <c r="C132" i="1"/>
  <c r="L131" i="1"/>
  <c r="K131" i="1"/>
  <c r="I131" i="1"/>
  <c r="J131" i="1" s="1"/>
  <c r="C131" i="1"/>
  <c r="L293" i="1"/>
  <c r="K293" i="1"/>
  <c r="I293" i="1"/>
  <c r="J293" i="1" s="1"/>
  <c r="C293" i="1"/>
  <c r="L292" i="1"/>
  <c r="K292" i="1"/>
  <c r="I292" i="1"/>
  <c r="J292" i="1" s="1"/>
  <c r="C292" i="1"/>
  <c r="L130" i="1"/>
  <c r="K130" i="1"/>
  <c r="I130" i="1"/>
  <c r="J130" i="1" s="1"/>
  <c r="C130" i="1"/>
  <c r="L291" i="1"/>
  <c r="K291" i="1"/>
  <c r="I291" i="1"/>
  <c r="J291" i="1" s="1"/>
  <c r="C291" i="1"/>
  <c r="L129" i="1"/>
  <c r="K129" i="1"/>
  <c r="I129" i="1"/>
  <c r="J129" i="1" s="1"/>
  <c r="C129" i="1"/>
  <c r="L128" i="1"/>
  <c r="K128" i="1"/>
  <c r="I128" i="1"/>
  <c r="J128" i="1" s="1"/>
  <c r="C128" i="1"/>
  <c r="L127" i="1"/>
  <c r="K127" i="1"/>
  <c r="I127" i="1"/>
  <c r="J127" i="1" s="1"/>
  <c r="C127" i="1"/>
  <c r="L126" i="1"/>
  <c r="K126" i="1"/>
  <c r="I126" i="1"/>
  <c r="J126" i="1" s="1"/>
  <c r="C126" i="1"/>
  <c r="L125" i="1"/>
  <c r="K125" i="1"/>
  <c r="I125" i="1"/>
  <c r="J125" i="1" s="1"/>
  <c r="C125" i="1"/>
  <c r="L124" i="1"/>
  <c r="K124" i="1"/>
  <c r="I124" i="1"/>
  <c r="J124" i="1" s="1"/>
  <c r="C124" i="1"/>
  <c r="L123" i="1"/>
  <c r="K123" i="1"/>
  <c r="I123" i="1"/>
  <c r="J123" i="1" s="1"/>
  <c r="C123" i="1"/>
  <c r="L122" i="1"/>
  <c r="K122" i="1"/>
  <c r="I122" i="1"/>
  <c r="J122" i="1" s="1"/>
  <c r="C122" i="1"/>
  <c r="L121" i="1"/>
  <c r="K121" i="1"/>
  <c r="I121" i="1"/>
  <c r="J121" i="1" s="1"/>
  <c r="C121" i="1"/>
  <c r="L120" i="1"/>
  <c r="K120" i="1"/>
  <c r="I120" i="1"/>
  <c r="J120" i="1" s="1"/>
  <c r="C120" i="1"/>
  <c r="L119" i="1"/>
  <c r="K119" i="1"/>
  <c r="I119" i="1"/>
  <c r="J119" i="1" s="1"/>
  <c r="C119" i="1"/>
  <c r="L118" i="1"/>
  <c r="K118" i="1"/>
  <c r="I118" i="1"/>
  <c r="J118" i="1" s="1"/>
  <c r="C118" i="1"/>
  <c r="L117" i="1"/>
  <c r="K117" i="1"/>
  <c r="I117" i="1"/>
  <c r="J117" i="1" s="1"/>
  <c r="C117" i="1"/>
  <c r="L116" i="1"/>
  <c r="K116" i="1"/>
  <c r="I116" i="1"/>
  <c r="J116" i="1" s="1"/>
  <c r="C116" i="1"/>
  <c r="L115" i="1"/>
  <c r="K115" i="1"/>
  <c r="I115" i="1"/>
  <c r="J115" i="1" s="1"/>
  <c r="C115" i="1"/>
  <c r="L4" i="1"/>
  <c r="K4" i="1"/>
  <c r="I4" i="1"/>
  <c r="J4" i="1" s="1"/>
  <c r="C4" i="1"/>
  <c r="L3" i="1"/>
  <c r="K3" i="1"/>
  <c r="I3" i="1"/>
  <c r="J3" i="1" s="1"/>
  <c r="C3" i="1"/>
  <c r="L10" i="1"/>
  <c r="K10" i="1"/>
  <c r="I10" i="1"/>
  <c r="J10" i="1" s="1"/>
  <c r="L9" i="1"/>
  <c r="K9" i="1"/>
  <c r="I9" i="1"/>
  <c r="J9" i="1" s="1"/>
  <c r="C9" i="1"/>
  <c r="L75" i="1"/>
  <c r="K75" i="1"/>
  <c r="I75" i="1"/>
  <c r="J75" i="1" s="1"/>
  <c r="C75" i="1"/>
  <c r="L74" i="1"/>
  <c r="K74" i="1"/>
  <c r="I74" i="1"/>
  <c r="J74" i="1" s="1"/>
  <c r="C74" i="1"/>
  <c r="L114" i="1"/>
  <c r="K114" i="1"/>
  <c r="I114" i="1"/>
  <c r="J114" i="1" s="1"/>
  <c r="C114" i="1"/>
  <c r="L73" i="1"/>
  <c r="K73" i="1"/>
  <c r="I73" i="1"/>
  <c r="J73" i="1" s="1"/>
  <c r="C73" i="1"/>
  <c r="L72" i="1"/>
  <c r="K72" i="1"/>
  <c r="I72" i="1"/>
  <c r="J72" i="1" s="1"/>
  <c r="C72" i="1"/>
  <c r="L71" i="1"/>
  <c r="K71" i="1"/>
  <c r="I71" i="1"/>
  <c r="J71" i="1" s="1"/>
  <c r="C71" i="1"/>
  <c r="L70" i="1"/>
  <c r="K70" i="1"/>
  <c r="I70" i="1"/>
  <c r="J70" i="1" s="1"/>
  <c r="C70" i="1"/>
  <c r="L69" i="1"/>
  <c r="K69" i="1"/>
  <c r="I69" i="1"/>
  <c r="J69" i="1" s="1"/>
  <c r="C69" i="1"/>
  <c r="L68" i="1"/>
  <c r="K68" i="1"/>
  <c r="I68" i="1"/>
  <c r="J68" i="1" s="1"/>
  <c r="C68" i="1"/>
  <c r="L67" i="1"/>
  <c r="K67" i="1"/>
  <c r="I67" i="1"/>
  <c r="J67" i="1" s="1"/>
  <c r="C67" i="1"/>
  <c r="L66" i="1"/>
  <c r="K66" i="1"/>
  <c r="I66" i="1"/>
  <c r="J66" i="1" s="1"/>
  <c r="C66" i="1"/>
  <c r="L65" i="1"/>
  <c r="K65" i="1"/>
  <c r="I65" i="1"/>
  <c r="J65" i="1" s="1"/>
  <c r="C65" i="1"/>
  <c r="L252" i="1"/>
  <c r="K252" i="1"/>
  <c r="I252" i="1"/>
  <c r="J252" i="1" s="1"/>
  <c r="C252" i="1"/>
  <c r="L251" i="1"/>
  <c r="K251" i="1"/>
  <c r="I251" i="1"/>
  <c r="J251" i="1" s="1"/>
  <c r="C251" i="1"/>
  <c r="L250" i="1"/>
  <c r="K250" i="1"/>
  <c r="I250" i="1"/>
  <c r="J250" i="1" s="1"/>
  <c r="C250" i="1"/>
  <c r="L249" i="1"/>
  <c r="K249" i="1"/>
  <c r="I249" i="1"/>
  <c r="J249" i="1" s="1"/>
  <c r="C249" i="1"/>
  <c r="L64" i="1"/>
  <c r="K64" i="1"/>
  <c r="I64" i="1"/>
  <c r="J64" i="1" s="1"/>
  <c r="C64" i="1"/>
  <c r="L63" i="1"/>
  <c r="K63" i="1"/>
  <c r="I63" i="1"/>
  <c r="J63" i="1" s="1"/>
  <c r="C63" i="1"/>
  <c r="L62" i="1"/>
  <c r="K62" i="1"/>
  <c r="I62" i="1"/>
  <c r="J62" i="1" s="1"/>
  <c r="C62" i="1"/>
  <c r="L61" i="1"/>
  <c r="K61" i="1"/>
  <c r="I61" i="1"/>
  <c r="J61" i="1" s="1"/>
  <c r="C61" i="1"/>
  <c r="L60" i="1"/>
  <c r="K60" i="1"/>
  <c r="I60" i="1"/>
  <c r="J60" i="1" s="1"/>
  <c r="C60" i="1"/>
  <c r="L248" i="1"/>
  <c r="K248" i="1"/>
  <c r="I248" i="1"/>
  <c r="J248" i="1" s="1"/>
  <c r="C248" i="1"/>
  <c r="L59" i="1"/>
  <c r="K59" i="1"/>
  <c r="I59" i="1"/>
  <c r="J59" i="1" s="1"/>
  <c r="C59" i="1"/>
  <c r="L58" i="1"/>
  <c r="K58" i="1"/>
  <c r="I58" i="1"/>
  <c r="J58" i="1" s="1"/>
  <c r="C58" i="1"/>
  <c r="L57" i="1"/>
  <c r="K57" i="1"/>
  <c r="I57" i="1"/>
  <c r="J57" i="1" s="1"/>
  <c r="C57" i="1"/>
  <c r="L56" i="1"/>
  <c r="K56" i="1"/>
  <c r="I56" i="1"/>
  <c r="J56" i="1" s="1"/>
  <c r="C56" i="1"/>
  <c r="L55" i="1"/>
  <c r="K55" i="1"/>
  <c r="I55" i="1"/>
  <c r="J55" i="1" s="1"/>
  <c r="C55" i="1"/>
  <c r="L247" i="1"/>
  <c r="K247" i="1"/>
  <c r="I247" i="1"/>
  <c r="J247" i="1" s="1"/>
  <c r="C247" i="1"/>
  <c r="L246" i="1"/>
  <c r="K246" i="1"/>
  <c r="I246" i="1"/>
  <c r="J246" i="1" s="1"/>
  <c r="L54" i="1"/>
  <c r="K54" i="1"/>
  <c r="I54" i="1"/>
  <c r="J54" i="1" s="1"/>
  <c r="C54" i="1"/>
  <c r="L53" i="1"/>
  <c r="K53" i="1"/>
  <c r="I53" i="1"/>
  <c r="J53" i="1" s="1"/>
  <c r="C53" i="1"/>
  <c r="L52" i="1"/>
  <c r="K52" i="1"/>
  <c r="I52" i="1"/>
  <c r="J52" i="1" s="1"/>
  <c r="C52" i="1"/>
  <c r="L51" i="1"/>
  <c r="K51" i="1"/>
  <c r="I51" i="1"/>
  <c r="J51" i="1" s="1"/>
  <c r="C51" i="1"/>
  <c r="L50" i="1"/>
  <c r="K50" i="1"/>
  <c r="I50" i="1"/>
  <c r="J50" i="1" s="1"/>
  <c r="C50" i="1"/>
  <c r="L49" i="1"/>
  <c r="K49" i="1"/>
  <c r="I49" i="1"/>
  <c r="J49" i="1" s="1"/>
  <c r="C49" i="1"/>
  <c r="L48" i="1"/>
  <c r="K48" i="1"/>
  <c r="I48" i="1"/>
  <c r="J48" i="1" s="1"/>
  <c r="C48" i="1"/>
  <c r="L47" i="1"/>
  <c r="K47" i="1"/>
  <c r="I47" i="1"/>
  <c r="J47" i="1" s="1"/>
  <c r="C47" i="1"/>
  <c r="L46" i="1"/>
  <c r="K46" i="1"/>
  <c r="I46" i="1"/>
  <c r="J46" i="1" s="1"/>
  <c r="C46" i="1"/>
  <c r="L45" i="1"/>
  <c r="K45" i="1"/>
  <c r="I45" i="1"/>
  <c r="J45" i="1" s="1"/>
  <c r="C45" i="1"/>
  <c r="L44" i="1"/>
  <c r="K44" i="1"/>
  <c r="I44" i="1"/>
  <c r="J44" i="1" s="1"/>
  <c r="C44" i="1"/>
  <c r="L43" i="1"/>
  <c r="K43" i="1"/>
  <c r="I43" i="1"/>
  <c r="J43" i="1" s="1"/>
  <c r="C43" i="1"/>
  <c r="L42" i="1"/>
  <c r="K42" i="1"/>
  <c r="I42" i="1"/>
  <c r="J42" i="1" s="1"/>
  <c r="C42" i="1"/>
  <c r="L41" i="1"/>
  <c r="K41" i="1"/>
  <c r="I41" i="1"/>
  <c r="J41" i="1" s="1"/>
  <c r="C41" i="1"/>
  <c r="L113" i="1"/>
  <c r="K113" i="1"/>
  <c r="I113" i="1"/>
  <c r="J113" i="1" s="1"/>
  <c r="C113" i="1"/>
  <c r="L112" i="1"/>
  <c r="K112" i="1"/>
  <c r="I112" i="1"/>
  <c r="J112" i="1" s="1"/>
  <c r="C112" i="1"/>
  <c r="L111" i="1"/>
  <c r="K111" i="1"/>
  <c r="I111" i="1"/>
  <c r="J111" i="1" s="1"/>
  <c r="C111" i="1"/>
  <c r="L110" i="1"/>
  <c r="K110" i="1"/>
  <c r="I110" i="1"/>
  <c r="J110" i="1" s="1"/>
  <c r="C110" i="1"/>
  <c r="L109" i="1"/>
  <c r="K109" i="1"/>
  <c r="I109" i="1"/>
  <c r="J109" i="1" s="1"/>
  <c r="C109" i="1"/>
  <c r="L290" i="1"/>
  <c r="K290" i="1"/>
  <c r="I290" i="1"/>
  <c r="J290" i="1" s="1"/>
  <c r="C290" i="1"/>
  <c r="L108" i="1"/>
  <c r="K108" i="1"/>
  <c r="I108" i="1"/>
  <c r="J108" i="1" s="1"/>
  <c r="C108" i="1"/>
  <c r="L107" i="1"/>
  <c r="K107" i="1"/>
  <c r="I107" i="1"/>
  <c r="J107" i="1" s="1"/>
  <c r="C107" i="1"/>
  <c r="L106" i="1"/>
  <c r="K106" i="1"/>
  <c r="I106" i="1"/>
  <c r="J106" i="1" s="1"/>
  <c r="C106" i="1"/>
  <c r="L105" i="1"/>
  <c r="K105" i="1"/>
  <c r="I105" i="1"/>
  <c r="J105" i="1" s="1"/>
  <c r="C105" i="1"/>
  <c r="L104" i="1"/>
  <c r="K104" i="1"/>
  <c r="I104" i="1"/>
  <c r="J104" i="1" s="1"/>
  <c r="C104" i="1"/>
  <c r="L289" i="1"/>
  <c r="K289" i="1"/>
  <c r="I289" i="1"/>
  <c r="J289" i="1" s="1"/>
  <c r="C289" i="1"/>
  <c r="L288" i="1"/>
  <c r="K288" i="1"/>
  <c r="I288" i="1"/>
  <c r="J288" i="1" s="1"/>
  <c r="C288" i="1"/>
  <c r="L103" i="1"/>
  <c r="K103" i="1"/>
  <c r="I103" i="1"/>
  <c r="J103" i="1" s="1"/>
  <c r="C103" i="1"/>
  <c r="L287" i="1"/>
  <c r="K287" i="1"/>
  <c r="I287" i="1"/>
  <c r="J287" i="1" s="1"/>
  <c r="C287" i="1"/>
  <c r="L102" i="1"/>
  <c r="K102" i="1"/>
  <c r="I102" i="1"/>
  <c r="J102" i="1" s="1"/>
  <c r="C102" i="1"/>
  <c r="L101" i="1"/>
  <c r="K101" i="1"/>
  <c r="I101" i="1"/>
  <c r="J101" i="1" s="1"/>
  <c r="C101" i="1"/>
  <c r="L100" i="1"/>
  <c r="K100" i="1"/>
  <c r="I100" i="1"/>
  <c r="J100" i="1" s="1"/>
  <c r="C100" i="1"/>
  <c r="L99" i="1"/>
  <c r="K99" i="1"/>
  <c r="I99" i="1"/>
  <c r="J99" i="1" s="1"/>
  <c r="C99" i="1"/>
  <c r="L98" i="1"/>
  <c r="K98" i="1"/>
  <c r="I98" i="1"/>
  <c r="J98" i="1" s="1"/>
  <c r="C98" i="1"/>
  <c r="L97" i="1"/>
  <c r="K97" i="1"/>
  <c r="I97" i="1"/>
  <c r="J97" i="1" s="1"/>
  <c r="C97" i="1"/>
  <c r="L96" i="1"/>
  <c r="K96" i="1"/>
  <c r="I96" i="1"/>
  <c r="J96" i="1" s="1"/>
  <c r="C96" i="1"/>
  <c r="L95" i="1"/>
  <c r="K95" i="1"/>
  <c r="I95" i="1"/>
  <c r="J95" i="1" s="1"/>
  <c r="C95" i="1"/>
  <c r="L94" i="1"/>
  <c r="K94" i="1"/>
  <c r="I94" i="1"/>
  <c r="J94" i="1" s="1"/>
  <c r="C94" i="1"/>
  <c r="L93" i="1"/>
  <c r="K93" i="1"/>
  <c r="I93" i="1"/>
  <c r="J93" i="1" s="1"/>
  <c r="C93" i="1"/>
  <c r="L92" i="1"/>
  <c r="K92" i="1"/>
  <c r="I92" i="1"/>
  <c r="J92" i="1" s="1"/>
  <c r="C92" i="1"/>
  <c r="L91" i="1"/>
  <c r="K91" i="1"/>
  <c r="I91" i="1"/>
  <c r="J91" i="1" s="1"/>
  <c r="C91" i="1"/>
  <c r="L90" i="1"/>
  <c r="K90" i="1"/>
  <c r="I90" i="1"/>
  <c r="J90" i="1" s="1"/>
  <c r="C90" i="1"/>
  <c r="L89" i="1"/>
  <c r="K89" i="1"/>
  <c r="I89" i="1"/>
  <c r="J89" i="1" s="1"/>
  <c r="C89" i="1"/>
  <c r="L88" i="1"/>
  <c r="K88" i="1"/>
  <c r="I88" i="1"/>
  <c r="J88" i="1" s="1"/>
  <c r="C88" i="1"/>
  <c r="L87" i="1"/>
  <c r="K87" i="1"/>
  <c r="I87" i="1"/>
  <c r="J87" i="1" s="1"/>
  <c r="C87" i="1"/>
  <c r="F20" i="1"/>
  <c r="G15" i="10" l="1"/>
  <c r="G14" i="10"/>
  <c r="G13" i="10"/>
  <c r="J13" i="10" s="1"/>
  <c r="G14" i="8"/>
  <c r="K5" i="8" s="1"/>
  <c r="G16" i="8"/>
  <c r="J16" i="8" s="1"/>
  <c r="G15" i="8"/>
  <c r="J15" i="8" s="1"/>
  <c r="G100" i="5" l="1"/>
  <c r="G99" i="5"/>
  <c r="K37" i="5" s="1"/>
  <c r="G98" i="5"/>
  <c r="H98" i="5" s="1"/>
  <c r="F39" i="15" s="1"/>
  <c r="G38" i="15" s="1"/>
  <c r="K9" i="10"/>
  <c r="J15" i="10"/>
  <c r="I13" i="10"/>
  <c r="G15" i="6"/>
  <c r="J15" i="6" s="1"/>
  <c r="J14" i="10"/>
  <c r="H15" i="10"/>
  <c r="H13" i="10"/>
  <c r="I14" i="10"/>
  <c r="K6" i="10"/>
  <c r="I15" i="10"/>
  <c r="H14" i="10"/>
  <c r="K5" i="10"/>
  <c r="I15" i="8"/>
  <c r="K7" i="8"/>
  <c r="J14" i="8"/>
  <c r="K8" i="8"/>
  <c r="I14" i="8"/>
  <c r="K10" i="8"/>
  <c r="I16" i="8"/>
  <c r="H16" i="8"/>
  <c r="K6" i="8"/>
  <c r="H15" i="8"/>
  <c r="H14" i="8"/>
  <c r="K9" i="8"/>
  <c r="G16" i="6"/>
  <c r="J16" i="6" s="1"/>
  <c r="G14" i="6"/>
  <c r="J14" i="6" s="1"/>
  <c r="G43" i="4"/>
  <c r="G42" i="4"/>
  <c r="K13" i="4" s="1"/>
  <c r="G41" i="4"/>
  <c r="K29" i="4" s="1"/>
  <c r="K43" i="5" l="1"/>
  <c r="K47" i="5"/>
  <c r="K45" i="5"/>
  <c r="K46" i="5"/>
  <c r="K42" i="5"/>
  <c r="K44" i="5"/>
  <c r="K68" i="5"/>
  <c r="K41" i="5"/>
  <c r="K32" i="5"/>
  <c r="K9" i="5"/>
  <c r="K33" i="5"/>
  <c r="K25" i="5"/>
  <c r="K18" i="5"/>
  <c r="H99" i="5"/>
  <c r="F43" i="15" s="1"/>
  <c r="G42" i="15" s="1"/>
  <c r="K85" i="5"/>
  <c r="K87" i="5"/>
  <c r="K86" i="5"/>
  <c r="K84" i="5"/>
  <c r="H100" i="5"/>
  <c r="F47" i="15" s="1"/>
  <c r="G46" i="15" s="1"/>
  <c r="K88" i="5"/>
  <c r="K93" i="5"/>
  <c r="K90" i="5"/>
  <c r="K92" i="5"/>
  <c r="K89" i="5"/>
  <c r="K91" i="5"/>
  <c r="K26" i="5"/>
  <c r="K16" i="5"/>
  <c r="K13" i="5"/>
  <c r="K51" i="5"/>
  <c r="K48" i="5"/>
  <c r="K24" i="5"/>
  <c r="K60" i="5"/>
  <c r="K59" i="5"/>
  <c r="K15" i="5"/>
  <c r="K23" i="5"/>
  <c r="K79" i="5"/>
  <c r="K27" i="5"/>
  <c r="K76" i="5"/>
  <c r="K31" i="5"/>
  <c r="K17" i="5"/>
  <c r="K35" i="5"/>
  <c r="K30" i="5"/>
  <c r="K50" i="5"/>
  <c r="K14" i="5"/>
  <c r="K69" i="5"/>
  <c r="K39" i="5"/>
  <c r="K64" i="5"/>
  <c r="K40" i="5"/>
  <c r="K56" i="5"/>
  <c r="K49" i="5"/>
  <c r="K5" i="5"/>
  <c r="K58" i="5"/>
  <c r="K12" i="5"/>
  <c r="K67" i="5"/>
  <c r="K54" i="5"/>
  <c r="K80" i="5"/>
  <c r="K72" i="5"/>
  <c r="K57" i="5"/>
  <c r="K6" i="5"/>
  <c r="K66" i="5"/>
  <c r="K20" i="5"/>
  <c r="K75" i="5"/>
  <c r="K70" i="5"/>
  <c r="K61" i="5"/>
  <c r="K63" i="5"/>
  <c r="K77" i="5"/>
  <c r="K73" i="5"/>
  <c r="K11" i="5"/>
  <c r="K82" i="5"/>
  <c r="K28" i="5"/>
  <c r="K29" i="5"/>
  <c r="K62" i="5"/>
  <c r="K22" i="5"/>
  <c r="K55" i="5"/>
  <c r="K38" i="5"/>
  <c r="K65" i="5"/>
  <c r="K53" i="5"/>
  <c r="K74" i="5"/>
  <c r="K83" i="5"/>
  <c r="J100" i="5"/>
  <c r="F49" i="15" s="1"/>
  <c r="G48" i="15" s="1"/>
  <c r="K7" i="5"/>
  <c r="K78" i="5"/>
  <c r="K8" i="5"/>
  <c r="K71" i="5"/>
  <c r="K10" i="5"/>
  <c r="K81" i="5"/>
  <c r="K19" i="5"/>
  <c r="K21" i="5"/>
  <c r="K36" i="5"/>
  <c r="K52" i="5"/>
  <c r="K34" i="5"/>
  <c r="K25" i="4"/>
  <c r="K26" i="4"/>
  <c r="K23" i="4"/>
  <c r="K24" i="4"/>
  <c r="K21" i="4"/>
  <c r="K22" i="4"/>
  <c r="K37" i="4"/>
  <c r="K38" i="4"/>
  <c r="K20" i="4"/>
  <c r="K35" i="4"/>
  <c r="K14" i="4"/>
  <c r="K15" i="4"/>
  <c r="K30" i="4"/>
  <c r="K10" i="4"/>
  <c r="K18" i="4"/>
  <c r="K36" i="4"/>
  <c r="K33" i="4"/>
  <c r="K34" i="4"/>
  <c r="K7" i="4"/>
  <c r="K6" i="4"/>
  <c r="K31" i="4"/>
  <c r="K27" i="4"/>
  <c r="K8" i="4"/>
  <c r="K19" i="4"/>
  <c r="K11" i="4"/>
  <c r="K5" i="4"/>
  <c r="K9" i="4"/>
  <c r="K17" i="4"/>
  <c r="K16" i="4"/>
  <c r="K28" i="4"/>
  <c r="K12" i="4"/>
  <c r="K32" i="4"/>
  <c r="I14" i="6"/>
  <c r="I15" i="6"/>
  <c r="H15" i="6"/>
  <c r="K6" i="6"/>
  <c r="K9" i="6"/>
  <c r="J98" i="5"/>
  <c r="F41" i="15" s="1"/>
  <c r="G40" i="15" s="1"/>
  <c r="H43" i="4"/>
  <c r="G86" i="3"/>
  <c r="K21" i="3" s="1"/>
  <c r="K10" i="6"/>
  <c r="I16" i="6"/>
  <c r="K5" i="6"/>
  <c r="H16" i="6"/>
  <c r="K7" i="6"/>
  <c r="H14" i="6"/>
  <c r="K8" i="6"/>
  <c r="I98" i="5"/>
  <c r="F40" i="15" s="1"/>
  <c r="G39" i="15" s="1"/>
  <c r="J99" i="5"/>
  <c r="F45" i="15" s="1"/>
  <c r="G44" i="15" s="1"/>
  <c r="H42" i="4"/>
  <c r="J43" i="4"/>
  <c r="I41" i="4"/>
  <c r="H41" i="4"/>
  <c r="J42" i="4"/>
  <c r="I43" i="4"/>
  <c r="I42" i="4"/>
  <c r="J41" i="4"/>
  <c r="G87" i="3"/>
  <c r="K51" i="3" s="1"/>
  <c r="G88" i="3"/>
  <c r="K66" i="3" s="1"/>
  <c r="G77" i="2"/>
  <c r="K15" i="2" s="1"/>
  <c r="K57" i="2"/>
  <c r="I100" i="5"/>
  <c r="F48" i="15" s="1"/>
  <c r="G47" i="15" s="1"/>
  <c r="I99" i="5"/>
  <c r="F44" i="15" s="1"/>
  <c r="G43" i="15" s="1"/>
  <c r="K11" i="3" l="1"/>
  <c r="K43" i="3"/>
  <c r="K22" i="3"/>
  <c r="K54" i="3"/>
  <c r="K31" i="3"/>
  <c r="K7" i="3"/>
  <c r="K72" i="3"/>
  <c r="K41" i="3"/>
  <c r="K9" i="3"/>
  <c r="K74" i="3"/>
  <c r="K52" i="3"/>
  <c r="K29" i="3"/>
  <c r="K57" i="3"/>
  <c r="K63" i="3"/>
  <c r="K62" i="3"/>
  <c r="K39" i="3"/>
  <c r="K16" i="3"/>
  <c r="K80" i="3"/>
  <c r="K49" i="3"/>
  <c r="K18" i="3"/>
  <c r="K82" i="3"/>
  <c r="K60" i="3"/>
  <c r="K37" i="3"/>
  <c r="K47" i="3"/>
  <c r="K26" i="3"/>
  <c r="K27" i="3"/>
  <c r="K68" i="3"/>
  <c r="K45" i="3"/>
  <c r="K14" i="3"/>
  <c r="K78" i="3"/>
  <c r="K55" i="3"/>
  <c r="K32" i="3"/>
  <c r="K5" i="3"/>
  <c r="K65" i="3"/>
  <c r="K34" i="3"/>
  <c r="K12" i="3"/>
  <c r="K76" i="3"/>
  <c r="K53" i="3"/>
  <c r="K70" i="3"/>
  <c r="K24" i="3"/>
  <c r="K67" i="3"/>
  <c r="K40" i="3"/>
  <c r="K8" i="3"/>
  <c r="K73" i="3"/>
  <c r="K42" i="3"/>
  <c r="K20" i="3"/>
  <c r="K10" i="3"/>
  <c r="K61" i="3"/>
  <c r="K30" i="3"/>
  <c r="K6" i="3"/>
  <c r="K71" i="3"/>
  <c r="K48" i="3"/>
  <c r="K17" i="3"/>
  <c r="K81" i="3"/>
  <c r="K50" i="3"/>
  <c r="K28" i="3"/>
  <c r="K75" i="3"/>
  <c r="K69" i="3"/>
  <c r="K38" i="3"/>
  <c r="K15" i="3"/>
  <c r="K79" i="3"/>
  <c r="K56" i="3"/>
  <c r="K25" i="3"/>
  <c r="K19" i="3"/>
  <c r="K58" i="3"/>
  <c r="K36" i="3"/>
  <c r="K13" i="3"/>
  <c r="K77" i="3"/>
  <c r="K46" i="3"/>
  <c r="K23" i="3"/>
  <c r="K35" i="3"/>
  <c r="K64" i="3"/>
  <c r="K33" i="3"/>
  <c r="K59" i="3"/>
  <c r="K44" i="3"/>
  <c r="K24" i="2"/>
  <c r="K50" i="2"/>
  <c r="K11" i="2"/>
  <c r="K36" i="2"/>
  <c r="K70" i="2"/>
  <c r="K63" i="2"/>
  <c r="K42" i="2"/>
  <c r="K13" i="2"/>
  <c r="K58" i="2"/>
  <c r="K19" i="2"/>
  <c r="K40" i="2"/>
  <c r="K44" i="2"/>
  <c r="K38" i="2"/>
  <c r="K69" i="2"/>
  <c r="K7" i="2"/>
  <c r="K71" i="2"/>
  <c r="K25" i="2"/>
  <c r="K67" i="2"/>
  <c r="K61" i="2"/>
  <c r="K52" i="2"/>
  <c r="K62" i="2"/>
  <c r="K6" i="2"/>
  <c r="J77" i="2"/>
  <c r="I77" i="2"/>
  <c r="H77" i="2"/>
  <c r="K29" i="2"/>
  <c r="K10" i="2"/>
  <c r="K5" i="2"/>
  <c r="K35" i="2"/>
  <c r="K53" i="2"/>
  <c r="K60" i="2"/>
  <c r="K14" i="2"/>
  <c r="K23" i="2"/>
  <c r="K8" i="2"/>
  <c r="K55" i="2"/>
  <c r="K41" i="2"/>
  <c r="K18" i="2"/>
  <c r="K16" i="2"/>
  <c r="K43" i="2"/>
  <c r="K68" i="2"/>
  <c r="K32" i="2"/>
  <c r="K22" i="2"/>
  <c r="K21" i="2"/>
  <c r="K31" i="2"/>
  <c r="K54" i="2"/>
  <c r="K33" i="2"/>
  <c r="K37" i="2"/>
  <c r="K49" i="2"/>
  <c r="K66" i="2"/>
  <c r="K27" i="2"/>
  <c r="K65" i="2"/>
  <c r="K26" i="2"/>
  <c r="K72" i="2"/>
  <c r="K51" i="2"/>
  <c r="K12" i="2"/>
  <c r="K64" i="2"/>
  <c r="K30" i="2"/>
  <c r="K56" i="2"/>
  <c r="K39" i="2"/>
  <c r="K48" i="2"/>
  <c r="K28" i="2"/>
  <c r="H78" i="2"/>
  <c r="J78" i="2"/>
  <c r="I78" i="2"/>
  <c r="K9" i="2"/>
  <c r="K17" i="2"/>
  <c r="K73" i="2"/>
  <c r="K34" i="2"/>
  <c r="K45" i="2"/>
  <c r="K59" i="2"/>
  <c r="K20" i="2"/>
  <c r="K46" i="2"/>
  <c r="K47" i="2"/>
  <c r="L167" i="1"/>
  <c r="K167" i="1"/>
  <c r="I167" i="1"/>
  <c r="J167" i="1" s="1"/>
  <c r="L83" i="1"/>
  <c r="K83" i="1"/>
  <c r="I83" i="1"/>
  <c r="J83" i="1" s="1"/>
  <c r="L82" i="1"/>
  <c r="K82" i="1"/>
  <c r="I82" i="1"/>
  <c r="J82" i="1" s="1"/>
  <c r="L81" i="1"/>
  <c r="K81" i="1"/>
  <c r="I81" i="1"/>
  <c r="J81" i="1" s="1"/>
  <c r="L80" i="1"/>
  <c r="K80" i="1"/>
  <c r="I80" i="1"/>
  <c r="J80" i="1" s="1"/>
  <c r="L79" i="1"/>
  <c r="K79" i="1"/>
  <c r="I79" i="1"/>
  <c r="J79" i="1" s="1"/>
  <c r="L166" i="1"/>
  <c r="K166" i="1"/>
  <c r="I166" i="1"/>
  <c r="J166" i="1" s="1"/>
  <c r="L165" i="1"/>
  <c r="K165" i="1"/>
  <c r="I165" i="1"/>
  <c r="J165" i="1" s="1"/>
  <c r="L174" i="1"/>
  <c r="K174" i="1"/>
  <c r="I174" i="1"/>
  <c r="J174" i="1" s="1"/>
  <c r="L24" i="1"/>
  <c r="K24" i="1"/>
  <c r="I24" i="1"/>
  <c r="J24" i="1" s="1"/>
  <c r="L23" i="1"/>
  <c r="K23" i="1"/>
  <c r="I23" i="1"/>
  <c r="J23" i="1" s="1"/>
  <c r="L22" i="1"/>
  <c r="K22" i="1"/>
  <c r="I22" i="1"/>
  <c r="J22" i="1" s="1"/>
  <c r="L21" i="1"/>
  <c r="K21" i="1"/>
  <c r="I21" i="1"/>
  <c r="J21" i="1" s="1"/>
  <c r="L20" i="1"/>
  <c r="K20" i="1"/>
  <c r="I20" i="1"/>
  <c r="J20" i="1" s="1"/>
  <c r="L164" i="1"/>
  <c r="K164" i="1"/>
  <c r="I164" i="1"/>
  <c r="J164" i="1" s="1"/>
  <c r="L218" i="1"/>
  <c r="K218" i="1"/>
  <c r="I218" i="1"/>
  <c r="J218" i="1" s="1"/>
  <c r="L19" i="1"/>
  <c r="K19" i="1"/>
  <c r="I19" i="1"/>
  <c r="J19" i="1" s="1"/>
  <c r="L18" i="1"/>
  <c r="K18" i="1"/>
  <c r="I18" i="1"/>
  <c r="J18" i="1" s="1"/>
  <c r="L17" i="1"/>
  <c r="K17" i="1"/>
  <c r="I17" i="1"/>
  <c r="J17" i="1" s="1"/>
  <c r="L299" i="1"/>
  <c r="K299" i="1"/>
  <c r="I299" i="1"/>
  <c r="J299" i="1" s="1"/>
  <c r="L163" i="1"/>
  <c r="K163" i="1"/>
  <c r="I163" i="1"/>
  <c r="J163" i="1" s="1"/>
  <c r="L217" i="1"/>
  <c r="K217" i="1"/>
  <c r="I217" i="1"/>
  <c r="J217" i="1" s="1"/>
  <c r="L216" i="1"/>
  <c r="K216" i="1"/>
  <c r="I216" i="1"/>
  <c r="J216" i="1" s="1"/>
  <c r="L215" i="1"/>
  <c r="K215" i="1"/>
  <c r="I215" i="1"/>
  <c r="J215" i="1" s="1"/>
  <c r="L214" i="1"/>
  <c r="K214" i="1"/>
  <c r="I214" i="1"/>
  <c r="J214" i="1" s="1"/>
  <c r="L213" i="1"/>
  <c r="K213" i="1"/>
  <c r="I213" i="1"/>
  <c r="J213" i="1" s="1"/>
  <c r="L212" i="1"/>
  <c r="K212" i="1"/>
  <c r="I212" i="1"/>
  <c r="J212" i="1" s="1"/>
  <c r="L211" i="1"/>
  <c r="K211" i="1"/>
  <c r="I211" i="1"/>
  <c r="J211" i="1" s="1"/>
  <c r="L286" i="1"/>
  <c r="K286" i="1"/>
  <c r="I286" i="1"/>
  <c r="J286" i="1" s="1"/>
  <c r="L285" i="1"/>
  <c r="K285" i="1"/>
  <c r="I285" i="1"/>
  <c r="J285" i="1" s="1"/>
  <c r="L284" i="1"/>
  <c r="K284" i="1"/>
  <c r="I284" i="1"/>
  <c r="J284" i="1" s="1"/>
  <c r="L283" i="1"/>
  <c r="K283" i="1"/>
  <c r="I283" i="1"/>
  <c r="J283" i="1" s="1"/>
  <c r="L282" i="1"/>
  <c r="K282" i="1"/>
  <c r="I282" i="1"/>
  <c r="J282" i="1" s="1"/>
  <c r="L281" i="1"/>
  <c r="K281" i="1"/>
  <c r="I281" i="1"/>
  <c r="J281" i="1" s="1"/>
  <c r="L280" i="1"/>
  <c r="K280" i="1"/>
  <c r="I280" i="1"/>
  <c r="J280" i="1" s="1"/>
  <c r="L210" i="1"/>
  <c r="K210" i="1"/>
  <c r="I210" i="1"/>
  <c r="J210" i="1" s="1"/>
  <c r="L209" i="1"/>
  <c r="K209" i="1"/>
  <c r="I209" i="1"/>
  <c r="J209" i="1" s="1"/>
  <c r="L208" i="1"/>
  <c r="K208" i="1"/>
  <c r="I208" i="1"/>
  <c r="J208" i="1" s="1"/>
  <c r="L207" i="1"/>
  <c r="K207" i="1"/>
  <c r="I207" i="1"/>
  <c r="J207" i="1" s="1"/>
  <c r="L206" i="1"/>
  <c r="K206" i="1"/>
  <c r="I206" i="1"/>
  <c r="J206" i="1" s="1"/>
  <c r="L205" i="1"/>
  <c r="K205" i="1"/>
  <c r="I205" i="1"/>
  <c r="J205" i="1" s="1"/>
  <c r="L204" i="1"/>
  <c r="K204" i="1"/>
  <c r="I204" i="1"/>
  <c r="J204" i="1" s="1"/>
  <c r="L203" i="1"/>
  <c r="K203" i="1"/>
  <c r="I203" i="1"/>
  <c r="J203" i="1" s="1"/>
  <c r="L202" i="1"/>
  <c r="K202" i="1"/>
  <c r="I202" i="1"/>
  <c r="J202" i="1" s="1"/>
  <c r="L201" i="1"/>
  <c r="K201" i="1"/>
  <c r="I201" i="1"/>
  <c r="J201" i="1" s="1"/>
  <c r="L200" i="1"/>
  <c r="K200" i="1"/>
  <c r="I200" i="1"/>
  <c r="J200" i="1" s="1"/>
  <c r="L199" i="1"/>
  <c r="K199" i="1"/>
  <c r="I199" i="1"/>
  <c r="J199" i="1" s="1"/>
  <c r="L198" i="1"/>
  <c r="K198" i="1"/>
  <c r="I198" i="1"/>
  <c r="J198" i="1" s="1"/>
  <c r="L279" i="1"/>
  <c r="K279" i="1"/>
  <c r="I279" i="1"/>
  <c r="J279" i="1" s="1"/>
  <c r="L278" i="1"/>
  <c r="K278" i="1"/>
  <c r="I278" i="1"/>
  <c r="J278" i="1" s="1"/>
  <c r="L277" i="1"/>
  <c r="K277" i="1"/>
  <c r="I277" i="1"/>
  <c r="J277" i="1" s="1"/>
  <c r="L276" i="1"/>
  <c r="K276" i="1"/>
  <c r="I276" i="1"/>
  <c r="J276" i="1" s="1"/>
  <c r="L86" i="1"/>
  <c r="K86" i="1"/>
  <c r="I86" i="1"/>
  <c r="J86" i="1" s="1"/>
  <c r="L275" i="1"/>
  <c r="K275" i="1"/>
  <c r="I275" i="1"/>
  <c r="J275" i="1" s="1"/>
  <c r="L274" i="1"/>
  <c r="K274" i="1"/>
  <c r="I274" i="1"/>
  <c r="J274" i="1" s="1"/>
  <c r="L273" i="1"/>
  <c r="K273" i="1"/>
  <c r="I273" i="1"/>
  <c r="J273" i="1" s="1"/>
  <c r="L197" i="1"/>
  <c r="K197" i="1"/>
  <c r="I197" i="1"/>
  <c r="J197" i="1" s="1"/>
  <c r="L196" i="1"/>
  <c r="K196" i="1"/>
  <c r="I196" i="1"/>
  <c r="J196" i="1" s="1"/>
  <c r="L195" i="1"/>
  <c r="K195" i="1"/>
  <c r="I195" i="1"/>
  <c r="J195" i="1" s="1"/>
  <c r="L194" i="1"/>
  <c r="K194" i="1"/>
  <c r="I194" i="1"/>
  <c r="J194" i="1" s="1"/>
  <c r="L193" i="1"/>
  <c r="K193" i="1"/>
  <c r="I193" i="1"/>
  <c r="J193" i="1" s="1"/>
  <c r="L192" i="1"/>
  <c r="K192" i="1"/>
  <c r="I192" i="1"/>
  <c r="J192" i="1" s="1"/>
  <c r="L191" i="1"/>
  <c r="K191" i="1"/>
  <c r="I191" i="1"/>
  <c r="J191" i="1" s="1"/>
  <c r="L16" i="1"/>
  <c r="K16" i="1"/>
  <c r="I16" i="1"/>
  <c r="J16" i="1" s="1"/>
  <c r="L15" i="1"/>
  <c r="K15" i="1"/>
  <c r="I15" i="1"/>
  <c r="J15" i="1" s="1"/>
  <c r="L190" i="1"/>
  <c r="K190" i="1"/>
  <c r="I190" i="1"/>
  <c r="J190" i="1" s="1"/>
  <c r="L189" i="1"/>
  <c r="K189" i="1"/>
  <c r="I189" i="1"/>
  <c r="J189" i="1" s="1"/>
  <c r="L188" i="1"/>
  <c r="K188" i="1"/>
  <c r="I188" i="1"/>
  <c r="J188" i="1" s="1"/>
  <c r="L187" i="1"/>
  <c r="K187" i="1"/>
  <c r="I187" i="1"/>
  <c r="J187" i="1" s="1"/>
  <c r="L186" i="1"/>
  <c r="K186" i="1"/>
  <c r="I186" i="1"/>
  <c r="J186" i="1" s="1"/>
  <c r="L185" i="1"/>
  <c r="K185" i="1"/>
  <c r="I185" i="1"/>
  <c r="J185" i="1" s="1"/>
  <c r="L184" i="1"/>
  <c r="K184" i="1"/>
  <c r="I184" i="1"/>
  <c r="J184" i="1" s="1"/>
  <c r="L183" i="1"/>
  <c r="K183" i="1"/>
  <c r="I183" i="1"/>
  <c r="J183" i="1" s="1"/>
  <c r="L182" i="1"/>
  <c r="K182" i="1"/>
  <c r="I182" i="1"/>
  <c r="J182" i="1" s="1"/>
  <c r="L181" i="1"/>
  <c r="K181" i="1"/>
  <c r="I181" i="1"/>
  <c r="J181" i="1" s="1"/>
  <c r="L180" i="1"/>
  <c r="K180" i="1"/>
  <c r="I180" i="1"/>
  <c r="J180" i="1" s="1"/>
  <c r="L179" i="1"/>
  <c r="K179" i="1"/>
  <c r="I179" i="1"/>
  <c r="J179" i="1" s="1"/>
  <c r="L178" i="1"/>
  <c r="K178" i="1"/>
  <c r="I178" i="1"/>
  <c r="J178" i="1" s="1"/>
  <c r="L177" i="1"/>
  <c r="K177" i="1"/>
  <c r="I177" i="1"/>
  <c r="J177" i="1" s="1"/>
  <c r="L176" i="1"/>
  <c r="K176" i="1"/>
  <c r="I176" i="1"/>
  <c r="J176" i="1" s="1"/>
  <c r="L272" i="1"/>
  <c r="K272" i="1"/>
  <c r="I272" i="1"/>
  <c r="J272" i="1" s="1"/>
  <c r="L271" i="1"/>
  <c r="K271" i="1"/>
  <c r="I271" i="1"/>
  <c r="J271" i="1" s="1"/>
  <c r="L270" i="1"/>
  <c r="K270" i="1"/>
  <c r="I270" i="1"/>
  <c r="J270" i="1" s="1"/>
  <c r="L269" i="1"/>
  <c r="K269" i="1"/>
  <c r="I269" i="1"/>
  <c r="J269" i="1" s="1"/>
  <c r="L85" i="1"/>
  <c r="K85" i="1"/>
  <c r="I85" i="1"/>
  <c r="J85" i="1" s="1"/>
  <c r="L268" i="1"/>
  <c r="K268" i="1"/>
  <c r="I268" i="1"/>
  <c r="J268" i="1" s="1"/>
  <c r="L267" i="1"/>
  <c r="K267" i="1"/>
  <c r="I267" i="1"/>
  <c r="J267" i="1" s="1"/>
  <c r="L266" i="1"/>
  <c r="K266" i="1"/>
  <c r="I266" i="1"/>
  <c r="J266" i="1" s="1"/>
  <c r="L265" i="1"/>
  <c r="K265" i="1"/>
  <c r="I265" i="1"/>
  <c r="J265" i="1" s="1"/>
  <c r="L2" i="1"/>
  <c r="K2" i="1"/>
  <c r="I2" i="1"/>
  <c r="J2" i="1" s="1"/>
  <c r="H86" i="3" l="1"/>
  <c r="I86" i="3"/>
  <c r="H88" i="3"/>
  <c r="H87" i="3"/>
  <c r="I88" i="3"/>
  <c r="I87" i="3"/>
  <c r="J88" i="3"/>
  <c r="J86" i="3"/>
  <c r="J8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tc={21C0A35F-7F2D-4B26-9F43-24EDC7C16205}</author>
  </authors>
  <commentList>
    <comment ref="C5" authorId="0" shapeId="0" xr:uid="{21C0A35F-7F2D-4B26-9F43-24EDC7C16205}">
      <text>
        <t>[Threaded comment]
Your version of Excel allows you to read this threaded comment; however, any edits to it will get removed if the file is opened in a newer version of Excel. Learn more: https://go.microsoft.com/fwlink/?linkid=870924
Comment:
    Flex service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tc={2DC2521E-E78B-4215-B100-E18620685283}</author>
  </authors>
  <commentList>
    <comment ref="C175" authorId="0" shapeId="0" xr:uid="{2DC2521E-E78B-4215-B100-E18620685283}">
      <text>
        <t>[Threaded comment]
Your version of Excel allows you to read this threaded comment; however, any edits to it will get removed if the file is opened in a newer version of Excel. Learn more: https://go.microsoft.com/fwlink/?linkid=870924
Comment:
    Flex service</t>
      </text>
    </comment>
  </commentList>
</comments>
</file>

<file path=xl/sharedStrings.xml><?xml version="1.0" encoding="utf-8"?>
<sst xmlns="http://schemas.openxmlformats.org/spreadsheetml/2006/main" count="2100" uniqueCount="124">
  <si>
    <t>Table 1</t>
  </si>
  <si>
    <t>Transit performance was significantly impacted by the effects of the COVID-19 pandemic; standards for measuring productivity are static and do not take these impacts into account</t>
  </si>
  <si>
    <t>Provider</t>
  </si>
  <si>
    <t xml:space="preserve">Route </t>
  </si>
  <si>
    <t>Type</t>
  </si>
  <si>
    <t>Day of Service</t>
  </si>
  <si>
    <t>Total Cost</t>
  </si>
  <si>
    <t>Fare Revenues</t>
  </si>
  <si>
    <t>Net Subsidy</t>
  </si>
  <si>
    <t>Total Passenger Trips</t>
  </si>
  <si>
    <t>Annual Hours</t>
  </si>
  <si>
    <t>Subsidy per Passenger</t>
  </si>
  <si>
    <t>Subsidy compared to peer average and review level</t>
  </si>
  <si>
    <t>Passengers per Hour</t>
  </si>
  <si>
    <t>Weekday</t>
  </si>
  <si>
    <t>MTS</t>
  </si>
  <si>
    <t>MVTA</t>
  </si>
  <si>
    <t>Saturday</t>
  </si>
  <si>
    <t>Sunday</t>
  </si>
  <si>
    <t>SW Transit</t>
  </si>
  <si>
    <t>Route Level Subsidy per Pass</t>
  </si>
  <si>
    <t>Average</t>
  </si>
  <si>
    <t>Tier 1</t>
  </si>
  <si>
    <t>Tier 2</t>
  </si>
  <si>
    <t>Tier 3</t>
  </si>
  <si>
    <t>Weekend</t>
  </si>
  <si>
    <t>Table 2</t>
  </si>
  <si>
    <t>Core Local</t>
  </si>
  <si>
    <t>Table 3</t>
  </si>
  <si>
    <t>Supporting Local</t>
  </si>
  <si>
    <t>Table 4</t>
  </si>
  <si>
    <t>Suburban Local</t>
  </si>
  <si>
    <t xml:space="preserve">445 / 438 </t>
  </si>
  <si>
    <t>Table 5</t>
  </si>
  <si>
    <t>Table 6</t>
  </si>
  <si>
    <t>Table 7</t>
  </si>
  <si>
    <t>Table 8</t>
  </si>
  <si>
    <t>Table 9</t>
  </si>
  <si>
    <t>MY RIDE</t>
  </si>
  <si>
    <t>Began service September 2020</t>
  </si>
  <si>
    <t xml:space="preserve">SW Prime </t>
  </si>
  <si>
    <t>Table 10</t>
  </si>
  <si>
    <t>Metro Mobility</t>
  </si>
  <si>
    <t>ADA DAR</t>
  </si>
  <si>
    <t>Table 11</t>
  </si>
  <si>
    <t>Metro Vanpool</t>
  </si>
  <si>
    <t>Vanpool</t>
  </si>
  <si>
    <t>Route</t>
  </si>
  <si>
    <t xml:space="preserve">Route Type </t>
  </si>
  <si>
    <t>Fare Revenue</t>
  </si>
  <si>
    <t>Passenger Trips</t>
  </si>
  <si>
    <t>In-Service Hours</t>
  </si>
  <si>
    <t>Total Subsidy</t>
  </si>
  <si>
    <t>Subsidy per Pass</t>
  </si>
  <si>
    <t>Farebox Recovery</t>
  </si>
  <si>
    <t>Pass per In Service Hour</t>
  </si>
  <si>
    <t>Commuter &amp; Express Bus</t>
  </si>
  <si>
    <t>Special Event</t>
  </si>
  <si>
    <t>2021 Commuter &amp; Express Subsidy per Passenger and Productivity</t>
  </si>
  <si>
    <t>2021 Core Local Bus Subsidy per Passenger and Productivity</t>
  </si>
  <si>
    <t>2021 Supporting Local Bus Subsidy per Passenger and Productivity</t>
  </si>
  <si>
    <t>2021 Suburban Local Bus Subsidy per Passenger and Productivity</t>
  </si>
  <si>
    <t>2021 Arterial BRT Subsidy per Passenger and Productivity</t>
  </si>
  <si>
    <t>2021 Highway BRT Subsidy per Passenger and Productivity</t>
  </si>
  <si>
    <t>2021 Light Rail Subsidy per Passenger and Productivity</t>
  </si>
  <si>
    <t>2021 Commuter Rail Subsidy per Passenger and Productivity</t>
  </si>
  <si>
    <t>2021 General Demand Response Subsidy per Passenger and Productivity</t>
  </si>
  <si>
    <t>2021 ADA Dial-a-Ride Subsidy per Passenger and Productivity</t>
  </si>
  <si>
    <t>2021 Vanpool Subsidy per Passenger and Productivity</t>
  </si>
  <si>
    <t>All Days</t>
  </si>
  <si>
    <t>Sunday / Holiday</t>
  </si>
  <si>
    <t>TransitLink</t>
  </si>
  <si>
    <t>General DAR</t>
  </si>
  <si>
    <t>Maple Grove</t>
  </si>
  <si>
    <t>Commuter and Express Bus</t>
  </si>
  <si>
    <t>DAR</t>
  </si>
  <si>
    <t>Plymouth</t>
  </si>
  <si>
    <t>Row Labels</t>
  </si>
  <si>
    <t>Grand Total</t>
  </si>
  <si>
    <t>Metro Transit</t>
  </si>
  <si>
    <t>BRT - Highway</t>
  </si>
  <si>
    <t>Blue Line</t>
  </si>
  <si>
    <t>Green Line</t>
  </si>
  <si>
    <t>Comments</t>
  </si>
  <si>
    <t>Service began November 2021</t>
  </si>
  <si>
    <t>Route 438 only in service between May-October 2021</t>
  </si>
  <si>
    <t>Route began in February 2021</t>
  </si>
  <si>
    <t>Reintroduced in May 2021</t>
  </si>
  <si>
    <t>Reintroduced in September 2021</t>
  </si>
  <si>
    <t>Suspended in February 2021</t>
  </si>
  <si>
    <t>Comment</t>
  </si>
  <si>
    <t>Column Labels</t>
  </si>
  <si>
    <t>BRT - Arterial</t>
  </si>
  <si>
    <t>BRT - HIghway</t>
  </si>
  <si>
    <t>Commuter Rail</t>
  </si>
  <si>
    <t>Light Rail</t>
  </si>
  <si>
    <t>Arterial BRT</t>
  </si>
  <si>
    <t>Highway BRT</t>
  </si>
  <si>
    <t>Total</t>
  </si>
  <si>
    <t>Operating Costs</t>
  </si>
  <si>
    <t>Sum of Fare Revenue</t>
  </si>
  <si>
    <t>System Subsidy</t>
  </si>
  <si>
    <t>Route Type</t>
  </si>
  <si>
    <t>Core Local Bus</t>
  </si>
  <si>
    <t>General Demand Response</t>
  </si>
  <si>
    <t>Suburban Local Bus</t>
  </si>
  <si>
    <t>Supporting Local Bus</t>
  </si>
  <si>
    <t>Meets Standards</t>
  </si>
  <si>
    <t>Below Standard</t>
  </si>
  <si>
    <t>Route Level Subsidy</t>
  </si>
  <si>
    <t>Pasenger Level Subsidy</t>
  </si>
  <si>
    <t>Service Type</t>
  </si>
  <si>
    <t>Peer Group Subsidy Average</t>
  </si>
  <si>
    <t>Level Number</t>
  </si>
  <si>
    <t>Description</t>
  </si>
  <si>
    <t>Min</t>
  </si>
  <si>
    <t>Max</t>
  </si>
  <si>
    <t>Meets</t>
  </si>
  <si>
    <t>Less than 20% over peer average</t>
  </si>
  <si>
    <t>20% to 35% over peer average</t>
  </si>
  <si>
    <t>35% to 60% over peer average</t>
  </si>
  <si>
    <t>60% over peer average</t>
  </si>
  <si>
    <t>General Public Dial-a-Ride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</si>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</sst>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#,##0.00"/>
    <numFmt numFmtId="167" formatCode="0.0%"/>
    <numFmt numFmtId="168" formatCode="_(&quot;$&quot;* #,##0_);_(&quot;$&quot;* \(#,##0\);_(&quot;$&quot;* &quot;-&quot;??_);_(@_)"/>
    <numFmt numFmtId="169" formatCode="0.0"/>
    <numFmt numFmtId="170" formatCode="#,##0.0"/>
    <numFmt numFmtId="171" formatCode="_(* #,##0.0_);_(* \(#,##0.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/>
  </cellStyleXfs>
  <cellXfs count="151">
    <xf numFmtId="0" fontId="0" fillId="0" borderId="0" xfId="0"/>
    <xf numFmtId="0" fontId="4" fillId="0" borderId="0" xfId="0" applyFont="1" applyAlignment="1">
      <alignment horizontal="center"/>
    </xf>
    <xf numFmtId="44" fontId="4" fillId="0" borderId="0" xfId="2" applyFont="1" applyAlignment="1">
      <alignment horizontal="center"/>
    </xf>
    <xf numFmtId="165" fontId="4" fillId="0" borderId="0" xfId="1" applyNumberFormat="1" applyFont="1" applyAlignment="1">
      <alignment horizontal="center"/>
    </xf>
    <xf numFmtId="1" fontId="0" fillId="0" borderId="0" xfId="0" applyNumberFormat="1"/>
    <xf numFmtId="166" fontId="0" fillId="0" borderId="0" xfId="0" applyNumberFormat="1"/>
    <xf numFmtId="3" fontId="0" fillId="0" borderId="0" xfId="0" applyNumberFormat="1"/>
    <xf numFmtId="41" fontId="0" fillId="0" borderId="0" xfId="0" applyNumberFormat="1"/>
    <xf numFmtId="169" fontId="0" fillId="0" borderId="0" xfId="0" applyNumberFormat="1"/>
    <xf numFmtId="164" fontId="0" fillId="0" borderId="0" xfId="1" applyNumberFormat="1" applyFont="1"/>
    <xf numFmtId="0" fontId="3" fillId="0" borderId="0" xfId="0" applyFont="1"/>
    <xf numFmtId="44" fontId="0" fillId="0" borderId="0" xfId="0" applyNumberFormat="1"/>
    <xf numFmtId="164" fontId="0" fillId="0" borderId="0" xfId="1" applyNumberFormat="1" applyFont="1" applyFill="1"/>
    <xf numFmtId="44" fontId="6" fillId="0" borderId="0" xfId="4" applyNumberFormat="1" applyFont="1" applyFill="1"/>
    <xf numFmtId="43" fontId="0" fillId="0" borderId="0" xfId="1" applyFont="1" applyFill="1"/>
    <xf numFmtId="0" fontId="8" fillId="0" borderId="0" xfId="5" applyFont="1" applyAlignment="1">
      <alignment wrapText="1"/>
    </xf>
    <xf numFmtId="38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38" fontId="5" fillId="3" borderId="3" xfId="0" applyNumberFormat="1" applyFont="1" applyFill="1" applyBorder="1" applyAlignment="1">
      <alignment horizontal="center" vertical="center" wrapText="1"/>
    </xf>
    <xf numFmtId="168" fontId="5" fillId="3" borderId="3" xfId="2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 wrapText="1"/>
    </xf>
    <xf numFmtId="40" fontId="5" fillId="3" borderId="3" xfId="0" applyNumberFormat="1" applyFont="1" applyFill="1" applyBorder="1" applyAlignment="1">
      <alignment horizontal="center" vertical="center" wrapText="1"/>
    </xf>
    <xf numFmtId="9" fontId="5" fillId="3" borderId="3" xfId="3" applyFont="1" applyFill="1" applyBorder="1" applyAlignment="1">
      <alignment horizontal="center" vertical="center" wrapText="1"/>
    </xf>
    <xf numFmtId="0" fontId="0" fillId="0" borderId="4" xfId="0" applyBorder="1"/>
    <xf numFmtId="167" fontId="0" fillId="0" borderId="0" xfId="3" applyNumberFormat="1" applyFont="1" applyBorder="1"/>
    <xf numFmtId="0" fontId="0" fillId="0" borderId="5" xfId="0" applyBorder="1"/>
    <xf numFmtId="0" fontId="3" fillId="0" borderId="5" xfId="0" applyFont="1" applyBorder="1"/>
    <xf numFmtId="0" fontId="0" fillId="0" borderId="6" xfId="0" applyBorder="1"/>
    <xf numFmtId="1" fontId="0" fillId="0" borderId="7" xfId="0" applyNumberFormat="1" applyBorder="1"/>
    <xf numFmtId="166" fontId="0" fillId="0" borderId="7" xfId="0" applyNumberFormat="1" applyBorder="1"/>
    <xf numFmtId="3" fontId="0" fillId="0" borderId="7" xfId="0" applyNumberFormat="1" applyBorder="1"/>
    <xf numFmtId="167" fontId="0" fillId="0" borderId="7" xfId="3" applyNumberFormat="1" applyFont="1" applyBorder="1"/>
    <xf numFmtId="169" fontId="0" fillId="0" borderId="7" xfId="0" applyNumberFormat="1" applyBorder="1"/>
    <xf numFmtId="0" fontId="0" fillId="0" borderId="7" xfId="0" applyBorder="1"/>
    <xf numFmtId="0" fontId="0" fillId="0" borderId="8" xfId="0" applyBorder="1"/>
    <xf numFmtId="165" fontId="0" fillId="0" borderId="0" xfId="0" applyNumberFormat="1"/>
    <xf numFmtId="41" fontId="0" fillId="0" borderId="7" xfId="0" applyNumberFormat="1" applyBorder="1"/>
    <xf numFmtId="9" fontId="0" fillId="0" borderId="0" xfId="3" applyFont="1" applyBorder="1"/>
    <xf numFmtId="43" fontId="0" fillId="0" borderId="0" xfId="0" applyNumberFormat="1"/>
    <xf numFmtId="9" fontId="0" fillId="0" borderId="7" xfId="3" applyFont="1" applyBorder="1"/>
    <xf numFmtId="43" fontId="0" fillId="0" borderId="7" xfId="0" applyNumberFormat="1" applyBorder="1"/>
    <xf numFmtId="167" fontId="0" fillId="0" borderId="0" xfId="3" applyNumberFormat="1" applyFont="1" applyFill="1" applyBorder="1"/>
    <xf numFmtId="167" fontId="0" fillId="0" borderId="7" xfId="3" applyNumberFormat="1" applyFont="1" applyFill="1" applyBorder="1"/>
    <xf numFmtId="0" fontId="3" fillId="0" borderId="8" xfId="0" applyFont="1" applyBorder="1"/>
    <xf numFmtId="44" fontId="0" fillId="0" borderId="0" xfId="2" applyFont="1" applyBorder="1"/>
    <xf numFmtId="165" fontId="0" fillId="0" borderId="0" xfId="1" applyNumberFormat="1" applyFont="1" applyBorder="1"/>
    <xf numFmtId="44" fontId="0" fillId="0" borderId="7" xfId="2" applyFont="1" applyBorder="1"/>
    <xf numFmtId="9" fontId="0" fillId="0" borderId="7" xfId="0" applyNumberFormat="1" applyBorder="1"/>
    <xf numFmtId="0" fontId="5" fillId="3" borderId="9" xfId="0" applyFont="1" applyFill="1" applyBorder="1" applyAlignment="1">
      <alignment horizontal="center" vertical="center"/>
    </xf>
    <xf numFmtId="44" fontId="0" fillId="4" borderId="0" xfId="0" applyNumberFormat="1" applyFill="1"/>
    <xf numFmtId="44" fontId="0" fillId="5" borderId="0" xfId="0" applyNumberFormat="1" applyFill="1"/>
    <xf numFmtId="44" fontId="6" fillId="2" borderId="5" xfId="4" applyNumberFormat="1" applyFont="1" applyBorder="1"/>
    <xf numFmtId="44" fontId="0" fillId="4" borderId="7" xfId="0" applyNumberFormat="1" applyFill="1" applyBorder="1"/>
    <xf numFmtId="44" fontId="0" fillId="5" borderId="7" xfId="0" applyNumberFormat="1" applyFill="1" applyBorder="1"/>
    <xf numFmtId="44" fontId="6" fillId="2" borderId="8" xfId="4" applyNumberFormat="1" applyFont="1" applyBorder="1"/>
    <xf numFmtId="0" fontId="10" fillId="0" borderId="4" xfId="0" applyFont="1" applyBorder="1" applyAlignment="1">
      <alignment horizontal="left" vertical="center"/>
    </xf>
    <xf numFmtId="38" fontId="5" fillId="3" borderId="10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11" xfId="0" applyBorder="1"/>
    <xf numFmtId="44" fontId="0" fillId="0" borderId="12" xfId="0" applyNumberFormat="1" applyBorder="1"/>
    <xf numFmtId="44" fontId="0" fillId="4" borderId="12" xfId="0" applyNumberFormat="1" applyFill="1" applyBorder="1"/>
    <xf numFmtId="44" fontId="0" fillId="5" borderId="12" xfId="0" applyNumberFormat="1" applyFill="1" applyBorder="1"/>
    <xf numFmtId="44" fontId="6" fillId="2" borderId="13" xfId="4" applyNumberFormat="1" applyFont="1" applyBorder="1"/>
    <xf numFmtId="0" fontId="0" fillId="0" borderId="14" xfId="0" applyBorder="1"/>
    <xf numFmtId="44" fontId="0" fillId="0" borderId="15" xfId="2" applyFont="1" applyBorder="1"/>
    <xf numFmtId="44" fontId="0" fillId="4" borderId="15" xfId="0" applyNumberFormat="1" applyFill="1" applyBorder="1"/>
    <xf numFmtId="44" fontId="0" fillId="5" borderId="15" xfId="0" applyNumberFormat="1" applyFill="1" applyBorder="1"/>
    <xf numFmtId="44" fontId="6" fillId="2" borderId="16" xfId="4" applyNumberFormat="1" applyFont="1" applyBorder="1"/>
    <xf numFmtId="0" fontId="5" fillId="3" borderId="2" xfId="0" applyFont="1" applyFill="1" applyBorder="1" applyAlignment="1">
      <alignment horizontal="center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0" fontId="9" fillId="0" borderId="0" xfId="5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8" fontId="0" fillId="0" borderId="0" xfId="0" applyNumberFormat="1"/>
    <xf numFmtId="10" fontId="0" fillId="0" borderId="0" xfId="3" applyNumberFormat="1" applyFont="1"/>
    <xf numFmtId="170" fontId="0" fillId="0" borderId="0" xfId="0" applyNumberFormat="1"/>
    <xf numFmtId="168" fontId="0" fillId="0" borderId="0" xfId="0" applyNumberFormat="1"/>
    <xf numFmtId="171" fontId="0" fillId="0" borderId="0" xfId="0" applyNumberFormat="1"/>
    <xf numFmtId="171" fontId="0" fillId="0" borderId="7" xfId="0" applyNumberFormat="1" applyBorder="1"/>
    <xf numFmtId="8" fontId="0" fillId="0" borderId="7" xfId="0" applyNumberFormat="1" applyBorder="1"/>
    <xf numFmtId="0" fontId="5" fillId="3" borderId="17" xfId="0" applyFont="1" applyFill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38" fontId="5" fillId="3" borderId="18" xfId="0" applyNumberFormat="1" applyFont="1" applyFill="1" applyBorder="1" applyAlignment="1">
      <alignment horizontal="center" vertical="center" wrapText="1"/>
    </xf>
    <xf numFmtId="168" fontId="5" fillId="3" borderId="18" xfId="2" applyNumberFormat="1" applyFont="1" applyFill="1" applyBorder="1" applyAlignment="1">
      <alignment horizontal="center" vertical="center"/>
    </xf>
    <xf numFmtId="168" fontId="5" fillId="3" borderId="18" xfId="2" applyNumberFormat="1" applyFont="1" applyFill="1" applyBorder="1" applyAlignment="1">
      <alignment horizontal="center" vertical="center" wrapText="1"/>
    </xf>
    <xf numFmtId="164" fontId="5" fillId="3" borderId="18" xfId="1" applyNumberFormat="1" applyFont="1" applyFill="1" applyBorder="1" applyAlignment="1">
      <alignment horizontal="center" vertical="center" wrapText="1"/>
    </xf>
    <xf numFmtId="40" fontId="5" fillId="3" borderId="18" xfId="0" applyNumberFormat="1" applyFont="1" applyFill="1" applyBorder="1" applyAlignment="1">
      <alignment horizontal="center" vertical="center" wrapText="1"/>
    </xf>
    <xf numFmtId="9" fontId="5" fillId="3" borderId="18" xfId="3" applyFont="1" applyFill="1" applyBorder="1" applyAlignment="1">
      <alignment horizontal="center" vertical="center" wrapText="1"/>
    </xf>
    <xf numFmtId="38" fontId="5" fillId="3" borderId="19" xfId="0" applyNumberFormat="1" applyFont="1" applyFill="1" applyBorder="1" applyAlignment="1">
      <alignment horizontal="center" vertical="center"/>
    </xf>
    <xf numFmtId="0" fontId="0" fillId="0" borderId="20" xfId="0" applyBorder="1"/>
    <xf numFmtId="1" fontId="0" fillId="0" borderId="21" xfId="0" applyNumberFormat="1" applyBorder="1"/>
    <xf numFmtId="0" fontId="0" fillId="0" borderId="21" xfId="0" applyBorder="1"/>
    <xf numFmtId="168" fontId="0" fillId="0" borderId="21" xfId="0" applyNumberFormat="1" applyBorder="1"/>
    <xf numFmtId="166" fontId="0" fillId="0" borderId="21" xfId="0" applyNumberFormat="1" applyBorder="1"/>
    <xf numFmtId="167" fontId="0" fillId="0" borderId="21" xfId="3" applyNumberFormat="1" applyFont="1" applyFill="1" applyBorder="1"/>
    <xf numFmtId="169" fontId="0" fillId="0" borderId="21" xfId="0" applyNumberFormat="1" applyBorder="1"/>
    <xf numFmtId="0" fontId="0" fillId="0" borderId="22" xfId="0" applyBorder="1"/>
    <xf numFmtId="168" fontId="0" fillId="0" borderId="7" xfId="0" applyNumberFormat="1" applyBorder="1"/>
    <xf numFmtId="167" fontId="0" fillId="4" borderId="7" xfId="3" applyNumberFormat="1" applyFont="1" applyFill="1" applyBorder="1"/>
    <xf numFmtId="0" fontId="0" fillId="0" borderId="24" xfId="0" applyBorder="1"/>
    <xf numFmtId="1" fontId="0" fillId="0" borderId="24" xfId="0" applyNumberFormat="1" applyBorder="1"/>
    <xf numFmtId="166" fontId="0" fillId="0" borderId="24" xfId="0" applyNumberFormat="1" applyBorder="1"/>
    <xf numFmtId="8" fontId="0" fillId="0" borderId="24" xfId="0" applyNumberFormat="1" applyBorder="1"/>
    <xf numFmtId="3" fontId="0" fillId="0" borderId="24" xfId="0" applyNumberFormat="1" applyBorder="1"/>
    <xf numFmtId="41" fontId="0" fillId="0" borderId="24" xfId="0" applyNumberFormat="1" applyBorder="1"/>
    <xf numFmtId="9" fontId="0" fillId="0" borderId="24" xfId="0" applyNumberFormat="1" applyBorder="1"/>
    <xf numFmtId="43" fontId="0" fillId="0" borderId="24" xfId="0" applyNumberFormat="1" applyBorder="1"/>
    <xf numFmtId="0" fontId="0" fillId="0" borderId="23" xfId="0" applyBorder="1"/>
    <xf numFmtId="0" fontId="3" fillId="6" borderId="25" xfId="0" applyFont="1" applyFill="1" applyBorder="1"/>
    <xf numFmtId="0" fontId="3" fillId="6" borderId="26" xfId="0" applyFont="1" applyFill="1" applyBorder="1" applyAlignment="1">
      <alignment horizontal="left"/>
    </xf>
    <xf numFmtId="0" fontId="3" fillId="6" borderId="26" xfId="0" applyFont="1" applyFill="1" applyBorder="1"/>
    <xf numFmtId="164" fontId="3" fillId="6" borderId="26" xfId="1" applyNumberFormat="1" applyFont="1" applyFill="1" applyBorder="1"/>
    <xf numFmtId="0" fontId="3" fillId="6" borderId="0" xfId="0" applyFont="1" applyFill="1"/>
    <xf numFmtId="44" fontId="0" fillId="0" borderId="0" xfId="2" applyFont="1"/>
    <xf numFmtId="168" fontId="0" fillId="0" borderId="0" xfId="2" applyNumberFormat="1" applyFont="1"/>
    <xf numFmtId="0" fontId="0" fillId="4" borderId="0" xfId="0" applyFill="1"/>
    <xf numFmtId="0" fontId="9" fillId="0" borderId="0" xfId="5" applyFont="1"/>
    <xf numFmtId="0" fontId="0" fillId="7" borderId="0" xfId="0" applyFill="1"/>
    <xf numFmtId="44" fontId="0" fillId="7" borderId="0" xfId="0" applyNumberFormat="1" applyFill="1"/>
    <xf numFmtId="44" fontId="0" fillId="4" borderId="0" xfId="2" applyFont="1" applyFill="1"/>
    <xf numFmtId="44" fontId="3" fillId="0" borderId="0" xfId="2" applyFont="1"/>
    <xf numFmtId="0" fontId="3" fillId="4" borderId="0" xfId="0" applyFont="1" applyFill="1"/>
    <xf numFmtId="44" fontId="3" fillId="4" borderId="0" xfId="2" applyFont="1" applyFill="1"/>
    <xf numFmtId="44" fontId="0" fillId="0" borderId="21" xfId="2" applyFont="1" applyBorder="1"/>
    <xf numFmtId="0" fontId="0" fillId="7" borderId="21" xfId="0" applyFill="1" applyBorder="1"/>
    <xf numFmtId="44" fontId="0" fillId="0" borderId="21" xfId="0" applyNumberFormat="1" applyBorder="1"/>
    <xf numFmtId="44" fontId="0" fillId="0" borderId="7" xfId="0" applyNumberFormat="1" applyBorder="1"/>
    <xf numFmtId="0" fontId="0" fillId="4" borderId="20" xfId="0" applyFill="1" applyBorder="1"/>
    <xf numFmtId="44" fontId="0" fillId="4" borderId="21" xfId="2" applyFont="1" applyFill="1" applyBorder="1"/>
    <xf numFmtId="0" fontId="0" fillId="4" borderId="21" xfId="0" applyFill="1" applyBorder="1"/>
    <xf numFmtId="44" fontId="0" fillId="4" borderId="21" xfId="0" applyNumberFormat="1" applyFill="1" applyBorder="1"/>
    <xf numFmtId="0" fontId="0" fillId="4" borderId="22" xfId="0" applyFill="1" applyBorder="1"/>
    <xf numFmtId="0" fontId="0" fillId="4" borderId="4" xfId="0" applyFill="1" applyBorder="1"/>
    <xf numFmtId="44" fontId="0" fillId="4" borderId="0" xfId="2" applyFont="1" applyFill="1" applyBorder="1"/>
    <xf numFmtId="0" fontId="0" fillId="4" borderId="5" xfId="0" applyFill="1" applyBorder="1"/>
    <xf numFmtId="0" fontId="0" fillId="4" borderId="6" xfId="0" applyFill="1" applyBorder="1"/>
    <xf numFmtId="44" fontId="0" fillId="4" borderId="7" xfId="2" applyFont="1" applyFill="1" applyBorder="1"/>
    <xf numFmtId="0" fontId="0" fillId="4" borderId="7" xfId="0" applyFill="1" applyBorder="1"/>
    <xf numFmtId="0" fontId="0" fillId="4" borderId="8" xfId="0" applyFill="1" applyBorder="1"/>
    <xf numFmtId="44" fontId="0" fillId="7" borderId="7" xfId="0" applyNumberFormat="1" applyFill="1" applyBorder="1"/>
    <xf numFmtId="44" fontId="1" fillId="4" borderId="21" xfId="2" applyFont="1" applyFill="1" applyBorder="1"/>
    <xf numFmtId="44" fontId="1" fillId="4" borderId="0" xfId="2" applyFont="1" applyFill="1" applyBorder="1"/>
    <xf numFmtId="44" fontId="1" fillId="4" borderId="7" xfId="2" applyFont="1" applyFill="1" applyBorder="1"/>
    <xf numFmtId="167" fontId="0" fillId="0" borderId="0" xfId="3" applyNumberFormat="1" applyFont="1"/>
    <xf numFmtId="164" fontId="0" fillId="0" borderId="0" xfId="2" applyNumberFormat="1" applyFont="1"/>
    <xf numFmtId="167" fontId="0" fillId="0" borderId="0" xfId="0" applyNumberFormat="1"/>
    <xf numFmtId="0" fontId="9" fillId="0" borderId="0" xfId="5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6">
    <cellStyle name="Bad" xfId="4" builtinId="27"/>
    <cellStyle name="Comma" xfId="1" builtinId="3"/>
    <cellStyle name="Currency" xfId="2" builtinId="4"/>
    <cellStyle name="Normal" xfId="0" builtinId="0"/>
    <cellStyle name="Normal_Raw - Rte-Year" xfId="5" xr:uid="{B5D81AF6-6D06-4EF6-A895-9CD066E383A8}"/>
    <cellStyle name="Percent" xfId="3" builtinId="5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aniel_pena_metc_state_mn_us/Documents/Route%20Analysis/2021/Final%20Draft/2021%20Metro%20Transit%20Data%20Format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ted"/>
      <sheetName val="Format"/>
      <sheetName val="Route types"/>
      <sheetName val="Bus WD"/>
      <sheetName val="Bus Sat"/>
      <sheetName val="Bus Sun"/>
      <sheetName val="CR WD"/>
      <sheetName val="CR Sat"/>
      <sheetName val="CR Sun"/>
      <sheetName val="LR WD"/>
      <sheetName val="LR Sat"/>
      <sheetName val="LR Sun"/>
      <sheetName val="NTD Recon"/>
    </sheetNames>
    <sheetDataSet>
      <sheetData sheetId="0" refreshError="1"/>
      <sheetData sheetId="1" refreshError="1"/>
      <sheetData sheetId="2" refreshError="1">
        <row r="1">
          <cell r="A1" t="str">
            <v>Route</v>
          </cell>
          <cell r="B1" t="str">
            <v xml:space="preserve">Route Type </v>
          </cell>
        </row>
        <row r="2">
          <cell r="A2">
            <v>2</v>
          </cell>
          <cell r="B2" t="str">
            <v>Core Local</v>
          </cell>
        </row>
        <row r="3">
          <cell r="A3">
            <v>2</v>
          </cell>
          <cell r="B3" t="str">
            <v>Core Local</v>
          </cell>
        </row>
        <row r="4">
          <cell r="A4">
            <v>2</v>
          </cell>
          <cell r="B4" t="str">
            <v>Core Local</v>
          </cell>
        </row>
        <row r="5">
          <cell r="A5">
            <v>3</v>
          </cell>
          <cell r="B5" t="str">
            <v>Core Local</v>
          </cell>
        </row>
        <row r="6">
          <cell r="A6">
            <v>3</v>
          </cell>
          <cell r="B6" t="str">
            <v>Core Local</v>
          </cell>
        </row>
        <row r="7">
          <cell r="A7">
            <v>3</v>
          </cell>
          <cell r="B7" t="str">
            <v>Core Local</v>
          </cell>
        </row>
        <row r="8">
          <cell r="A8">
            <v>4</v>
          </cell>
          <cell r="B8" t="str">
            <v>Core Local</v>
          </cell>
        </row>
        <row r="9">
          <cell r="A9">
            <v>4</v>
          </cell>
          <cell r="B9" t="str">
            <v>Core Local</v>
          </cell>
        </row>
        <row r="10">
          <cell r="A10">
            <v>4</v>
          </cell>
          <cell r="B10" t="str">
            <v>Core Local</v>
          </cell>
        </row>
        <row r="11">
          <cell r="A11">
            <v>5</v>
          </cell>
          <cell r="B11" t="str">
            <v>Core Local</v>
          </cell>
        </row>
        <row r="12">
          <cell r="A12">
            <v>5</v>
          </cell>
          <cell r="B12" t="str">
            <v>Core Local</v>
          </cell>
        </row>
        <row r="13">
          <cell r="A13">
            <v>5</v>
          </cell>
          <cell r="B13" t="str">
            <v>Core Local</v>
          </cell>
        </row>
        <row r="14">
          <cell r="A14">
            <v>6</v>
          </cell>
          <cell r="B14" t="str">
            <v>Core Local</v>
          </cell>
        </row>
        <row r="15">
          <cell r="A15">
            <v>6</v>
          </cell>
          <cell r="B15" t="str">
            <v>Core Local</v>
          </cell>
        </row>
        <row r="16">
          <cell r="A16">
            <v>6</v>
          </cell>
          <cell r="B16" t="str">
            <v>Core Local</v>
          </cell>
        </row>
        <row r="17">
          <cell r="A17">
            <v>7</v>
          </cell>
          <cell r="B17" t="str">
            <v>Core Local</v>
          </cell>
        </row>
        <row r="18">
          <cell r="A18">
            <v>7</v>
          </cell>
          <cell r="B18" t="str">
            <v>Core Local</v>
          </cell>
        </row>
        <row r="19">
          <cell r="A19">
            <v>7</v>
          </cell>
          <cell r="B19" t="str">
            <v>Core Local</v>
          </cell>
        </row>
        <row r="20">
          <cell r="A20">
            <v>9</v>
          </cell>
          <cell r="B20" t="str">
            <v>Core Local</v>
          </cell>
        </row>
        <row r="21">
          <cell r="A21">
            <v>9</v>
          </cell>
          <cell r="B21" t="str">
            <v>Core Local</v>
          </cell>
        </row>
        <row r="22">
          <cell r="A22">
            <v>9</v>
          </cell>
          <cell r="B22" t="str">
            <v>Core Local</v>
          </cell>
        </row>
        <row r="23">
          <cell r="A23">
            <v>10</v>
          </cell>
          <cell r="B23" t="str">
            <v>Core Local</v>
          </cell>
        </row>
        <row r="24">
          <cell r="A24">
            <v>10</v>
          </cell>
          <cell r="B24" t="str">
            <v>Core Local</v>
          </cell>
        </row>
        <row r="25">
          <cell r="A25">
            <v>10</v>
          </cell>
          <cell r="B25" t="str">
            <v>Core Local</v>
          </cell>
        </row>
        <row r="26">
          <cell r="A26">
            <v>11</v>
          </cell>
          <cell r="B26" t="str">
            <v>Core Local</v>
          </cell>
        </row>
        <row r="27">
          <cell r="A27">
            <v>11</v>
          </cell>
          <cell r="B27" t="str">
            <v>Core Local</v>
          </cell>
        </row>
        <row r="28">
          <cell r="A28">
            <v>11</v>
          </cell>
          <cell r="B28" t="str">
            <v>Core Local</v>
          </cell>
        </row>
        <row r="29">
          <cell r="A29">
            <v>12</v>
          </cell>
          <cell r="B29" t="str">
            <v>Core Local</v>
          </cell>
        </row>
        <row r="30">
          <cell r="A30">
            <v>14</v>
          </cell>
          <cell r="B30" t="str">
            <v>Core Local</v>
          </cell>
        </row>
        <row r="31">
          <cell r="A31">
            <v>14</v>
          </cell>
          <cell r="B31" t="str">
            <v>Core Local</v>
          </cell>
        </row>
        <row r="32">
          <cell r="A32">
            <v>14</v>
          </cell>
          <cell r="B32" t="str">
            <v>Core Local</v>
          </cell>
        </row>
        <row r="33">
          <cell r="A33">
            <v>16</v>
          </cell>
          <cell r="B33" t="str">
            <v>Supporting Local</v>
          </cell>
        </row>
        <row r="34">
          <cell r="A34">
            <v>16</v>
          </cell>
          <cell r="B34" t="str">
            <v>Supporting Local</v>
          </cell>
        </row>
        <row r="35">
          <cell r="A35">
            <v>16</v>
          </cell>
          <cell r="B35" t="str">
            <v>Supporting Local</v>
          </cell>
        </row>
        <row r="36">
          <cell r="A36">
            <v>17</v>
          </cell>
          <cell r="B36" t="str">
            <v>Core Local</v>
          </cell>
        </row>
        <row r="37">
          <cell r="A37">
            <v>17</v>
          </cell>
          <cell r="B37" t="str">
            <v>Core Local</v>
          </cell>
        </row>
        <row r="38">
          <cell r="A38">
            <v>17</v>
          </cell>
          <cell r="B38" t="str">
            <v>Core Local</v>
          </cell>
        </row>
        <row r="39">
          <cell r="A39">
            <v>18</v>
          </cell>
          <cell r="B39" t="str">
            <v>Core Local</v>
          </cell>
        </row>
        <row r="40">
          <cell r="A40">
            <v>18</v>
          </cell>
          <cell r="B40" t="str">
            <v>Core Local</v>
          </cell>
        </row>
        <row r="41">
          <cell r="A41">
            <v>18</v>
          </cell>
          <cell r="B41" t="str">
            <v>Core Local</v>
          </cell>
        </row>
        <row r="42">
          <cell r="A42">
            <v>19</v>
          </cell>
          <cell r="B42" t="str">
            <v>Core Local</v>
          </cell>
        </row>
        <row r="43">
          <cell r="A43">
            <v>19</v>
          </cell>
          <cell r="B43" t="str">
            <v>Core Local</v>
          </cell>
        </row>
        <row r="44">
          <cell r="A44">
            <v>19</v>
          </cell>
          <cell r="B44" t="str">
            <v>Core Local</v>
          </cell>
        </row>
        <row r="45">
          <cell r="A45">
            <v>21</v>
          </cell>
          <cell r="B45" t="str">
            <v>Core Local</v>
          </cell>
        </row>
        <row r="46">
          <cell r="A46">
            <v>21</v>
          </cell>
          <cell r="B46" t="str">
            <v>Core Local</v>
          </cell>
        </row>
        <row r="47">
          <cell r="A47">
            <v>21</v>
          </cell>
          <cell r="B47" t="str">
            <v>Core Local</v>
          </cell>
        </row>
        <row r="48">
          <cell r="A48">
            <v>22</v>
          </cell>
          <cell r="B48" t="str">
            <v>Core Local</v>
          </cell>
        </row>
        <row r="49">
          <cell r="A49">
            <v>22</v>
          </cell>
          <cell r="B49" t="str">
            <v>Core Local</v>
          </cell>
        </row>
        <row r="50">
          <cell r="A50">
            <v>22</v>
          </cell>
          <cell r="B50" t="str">
            <v>Core Local</v>
          </cell>
        </row>
        <row r="51">
          <cell r="A51">
            <v>23</v>
          </cell>
          <cell r="B51" t="str">
            <v>Supporting Local</v>
          </cell>
        </row>
        <row r="52">
          <cell r="A52">
            <v>23</v>
          </cell>
          <cell r="B52" t="str">
            <v>Supporting Local</v>
          </cell>
        </row>
        <row r="53">
          <cell r="A53">
            <v>23</v>
          </cell>
          <cell r="B53" t="str">
            <v>Supporting Local</v>
          </cell>
        </row>
        <row r="54">
          <cell r="A54">
            <v>25</v>
          </cell>
          <cell r="B54" t="str">
            <v>Core Local</v>
          </cell>
        </row>
        <row r="55">
          <cell r="A55">
            <v>25</v>
          </cell>
          <cell r="B55" t="str">
            <v>Core Local</v>
          </cell>
        </row>
        <row r="56">
          <cell r="A56">
            <v>27</v>
          </cell>
          <cell r="B56" t="str">
            <v>Supporting Local</v>
          </cell>
        </row>
        <row r="57">
          <cell r="A57">
            <v>30</v>
          </cell>
          <cell r="B57" t="str">
            <v>Supporting Local</v>
          </cell>
        </row>
        <row r="58">
          <cell r="A58">
            <v>30</v>
          </cell>
          <cell r="B58" t="str">
            <v>Supporting Local</v>
          </cell>
        </row>
        <row r="59">
          <cell r="A59">
            <v>30</v>
          </cell>
          <cell r="B59" t="str">
            <v>Supporting Local</v>
          </cell>
        </row>
        <row r="60">
          <cell r="A60">
            <v>32</v>
          </cell>
          <cell r="B60" t="str">
            <v>Supporting Local</v>
          </cell>
        </row>
        <row r="61">
          <cell r="A61">
            <v>32</v>
          </cell>
          <cell r="B61" t="str">
            <v>Supporting Local</v>
          </cell>
        </row>
        <row r="62">
          <cell r="A62">
            <v>32</v>
          </cell>
          <cell r="B62" t="str">
            <v>Supporting Local</v>
          </cell>
        </row>
        <row r="63">
          <cell r="A63">
            <v>39</v>
          </cell>
          <cell r="B63" t="str">
            <v>Supporting Local</v>
          </cell>
        </row>
        <row r="64">
          <cell r="A64">
            <v>46</v>
          </cell>
          <cell r="B64" t="str">
            <v>Supporting Local</v>
          </cell>
        </row>
        <row r="65">
          <cell r="A65">
            <v>46</v>
          </cell>
          <cell r="B65" t="str">
            <v>Supporting Local</v>
          </cell>
        </row>
        <row r="66">
          <cell r="A66">
            <v>46</v>
          </cell>
          <cell r="B66" t="str">
            <v>Supporting Local</v>
          </cell>
        </row>
        <row r="67">
          <cell r="A67">
            <v>53</v>
          </cell>
          <cell r="B67" t="str">
            <v>Commuter &amp; Express Bus</v>
          </cell>
        </row>
        <row r="68">
          <cell r="A68">
            <v>54</v>
          </cell>
          <cell r="B68" t="str">
            <v>Core Local</v>
          </cell>
        </row>
        <row r="69">
          <cell r="A69">
            <v>54</v>
          </cell>
          <cell r="B69" t="str">
            <v>Core Local</v>
          </cell>
        </row>
        <row r="70">
          <cell r="A70">
            <v>54</v>
          </cell>
          <cell r="B70" t="str">
            <v>Core Local</v>
          </cell>
        </row>
        <row r="71">
          <cell r="A71">
            <v>59</v>
          </cell>
          <cell r="B71" t="str">
            <v>Core Local</v>
          </cell>
        </row>
        <row r="72">
          <cell r="A72">
            <v>61</v>
          </cell>
          <cell r="B72" t="str">
            <v>Core Local</v>
          </cell>
        </row>
        <row r="73">
          <cell r="A73">
            <v>61</v>
          </cell>
          <cell r="B73" t="str">
            <v>Core Local</v>
          </cell>
        </row>
        <row r="74">
          <cell r="A74">
            <v>62</v>
          </cell>
          <cell r="B74" t="str">
            <v>Core Local</v>
          </cell>
        </row>
        <row r="75">
          <cell r="A75">
            <v>62</v>
          </cell>
          <cell r="B75" t="str">
            <v>Core Local</v>
          </cell>
        </row>
        <row r="76">
          <cell r="A76">
            <v>62</v>
          </cell>
          <cell r="B76" t="str">
            <v>Core Local</v>
          </cell>
        </row>
        <row r="77">
          <cell r="A77">
            <v>63</v>
          </cell>
          <cell r="B77" t="str">
            <v>Core Local</v>
          </cell>
        </row>
        <row r="78">
          <cell r="A78">
            <v>63</v>
          </cell>
          <cell r="B78" t="str">
            <v>Core Local</v>
          </cell>
        </row>
        <row r="79">
          <cell r="A79">
            <v>63</v>
          </cell>
          <cell r="B79" t="str">
            <v>Core Local</v>
          </cell>
        </row>
        <row r="80">
          <cell r="A80">
            <v>64</v>
          </cell>
          <cell r="B80" t="str">
            <v>Core Local</v>
          </cell>
        </row>
        <row r="81">
          <cell r="A81">
            <v>64</v>
          </cell>
          <cell r="B81" t="str">
            <v>Core Local</v>
          </cell>
        </row>
        <row r="82">
          <cell r="A82">
            <v>64</v>
          </cell>
          <cell r="B82" t="str">
            <v>Core Local</v>
          </cell>
        </row>
        <row r="83">
          <cell r="A83">
            <v>65</v>
          </cell>
          <cell r="B83" t="str">
            <v>Supporting Local</v>
          </cell>
        </row>
        <row r="84">
          <cell r="A84">
            <v>65</v>
          </cell>
          <cell r="B84" t="str">
            <v>Supporting Local</v>
          </cell>
        </row>
        <row r="85">
          <cell r="A85">
            <v>65</v>
          </cell>
          <cell r="B85" t="str">
            <v>Supporting Local</v>
          </cell>
        </row>
        <row r="86">
          <cell r="A86">
            <v>67</v>
          </cell>
          <cell r="B86" t="str">
            <v>Core Local</v>
          </cell>
        </row>
        <row r="87">
          <cell r="A87">
            <v>67</v>
          </cell>
          <cell r="B87" t="str">
            <v>Core Local</v>
          </cell>
        </row>
        <row r="88">
          <cell r="A88">
            <v>67</v>
          </cell>
          <cell r="B88" t="str">
            <v>Core Local</v>
          </cell>
        </row>
        <row r="89">
          <cell r="A89">
            <v>67</v>
          </cell>
          <cell r="B89" t="str">
            <v>Core Local</v>
          </cell>
        </row>
        <row r="90">
          <cell r="A90">
            <v>67</v>
          </cell>
          <cell r="B90" t="str">
            <v>Core Local</v>
          </cell>
        </row>
        <row r="91">
          <cell r="A91">
            <v>67</v>
          </cell>
          <cell r="B91" t="str">
            <v>Core Local</v>
          </cell>
        </row>
        <row r="92">
          <cell r="A92">
            <v>68</v>
          </cell>
          <cell r="B92" t="str">
            <v>Core Local</v>
          </cell>
        </row>
        <row r="93">
          <cell r="A93">
            <v>68</v>
          </cell>
          <cell r="B93" t="str">
            <v>Core Local</v>
          </cell>
        </row>
        <row r="94">
          <cell r="A94">
            <v>68</v>
          </cell>
          <cell r="B94" t="str">
            <v>Core Local</v>
          </cell>
        </row>
        <row r="95">
          <cell r="A95">
            <v>70</v>
          </cell>
          <cell r="B95" t="str">
            <v>Core Local</v>
          </cell>
        </row>
        <row r="96">
          <cell r="A96">
            <v>70</v>
          </cell>
          <cell r="B96" t="str">
            <v>Core Local</v>
          </cell>
        </row>
        <row r="97">
          <cell r="A97">
            <v>70</v>
          </cell>
          <cell r="B97" t="str">
            <v>Core Local</v>
          </cell>
        </row>
        <row r="98">
          <cell r="A98">
            <v>71</v>
          </cell>
          <cell r="B98" t="str">
            <v>Core Local</v>
          </cell>
        </row>
        <row r="99">
          <cell r="A99">
            <v>71</v>
          </cell>
          <cell r="B99" t="str">
            <v>Core Local</v>
          </cell>
        </row>
        <row r="100">
          <cell r="A100">
            <v>71</v>
          </cell>
          <cell r="B100" t="str">
            <v>Core Local</v>
          </cell>
        </row>
        <row r="101">
          <cell r="A101">
            <v>74</v>
          </cell>
          <cell r="B101" t="str">
            <v>Core Local</v>
          </cell>
        </row>
        <row r="102">
          <cell r="A102">
            <v>74</v>
          </cell>
          <cell r="B102" t="str">
            <v>Core Local</v>
          </cell>
        </row>
        <row r="103">
          <cell r="A103">
            <v>74</v>
          </cell>
          <cell r="B103" t="str">
            <v>Core Local</v>
          </cell>
        </row>
        <row r="104">
          <cell r="A104">
            <v>75</v>
          </cell>
          <cell r="B104" t="str">
            <v>Core Local</v>
          </cell>
        </row>
        <row r="105">
          <cell r="A105">
            <v>80</v>
          </cell>
          <cell r="B105" t="str">
            <v>Supporting Local</v>
          </cell>
        </row>
        <row r="106">
          <cell r="A106">
            <v>80</v>
          </cell>
          <cell r="B106" t="str">
            <v>Supporting Local</v>
          </cell>
        </row>
        <row r="107">
          <cell r="A107">
            <v>80</v>
          </cell>
          <cell r="B107" t="str">
            <v>Supporting Local</v>
          </cell>
        </row>
        <row r="108">
          <cell r="A108">
            <v>83</v>
          </cell>
          <cell r="B108" t="str">
            <v>Supporting Local</v>
          </cell>
        </row>
        <row r="109">
          <cell r="A109">
            <v>83</v>
          </cell>
          <cell r="B109" t="str">
            <v>Supporting Local</v>
          </cell>
        </row>
        <row r="110">
          <cell r="A110">
            <v>83</v>
          </cell>
          <cell r="B110" t="str">
            <v>Supporting Local</v>
          </cell>
        </row>
        <row r="111">
          <cell r="A111">
            <v>84</v>
          </cell>
          <cell r="B111" t="str">
            <v>Supporting Local</v>
          </cell>
        </row>
        <row r="112">
          <cell r="A112">
            <v>84</v>
          </cell>
          <cell r="B112" t="str">
            <v>Supporting Local</v>
          </cell>
        </row>
        <row r="113">
          <cell r="A113">
            <v>84</v>
          </cell>
          <cell r="B113" t="str">
            <v>Supporting Local</v>
          </cell>
        </row>
        <row r="114">
          <cell r="A114">
            <v>87</v>
          </cell>
          <cell r="B114" t="str">
            <v>Supporting Local</v>
          </cell>
        </row>
        <row r="115">
          <cell r="A115">
            <v>87</v>
          </cell>
          <cell r="B115" t="str">
            <v>Supporting Local</v>
          </cell>
        </row>
        <row r="116">
          <cell r="A116">
            <v>87</v>
          </cell>
          <cell r="B116" t="str">
            <v>Supporting Local</v>
          </cell>
        </row>
        <row r="117">
          <cell r="A117">
            <v>94</v>
          </cell>
          <cell r="B117" t="str">
            <v>Commuter &amp; Express Bus</v>
          </cell>
        </row>
        <row r="118">
          <cell r="A118">
            <v>111</v>
          </cell>
          <cell r="B118" t="str">
            <v>Commuter &amp; Express Bus</v>
          </cell>
        </row>
        <row r="119">
          <cell r="A119">
            <v>113</v>
          </cell>
          <cell r="B119" t="str">
            <v>Commuter &amp; Express Bus</v>
          </cell>
        </row>
        <row r="120">
          <cell r="A120">
            <v>114</v>
          </cell>
          <cell r="B120" t="str">
            <v>Commuter &amp; Express Bus</v>
          </cell>
        </row>
        <row r="121">
          <cell r="A121">
            <v>115</v>
          </cell>
          <cell r="B121" t="str">
            <v>Commuter &amp; Express Bus</v>
          </cell>
        </row>
        <row r="122">
          <cell r="A122">
            <v>118</v>
          </cell>
          <cell r="B122" t="str">
            <v>Commuter &amp; Express Bus</v>
          </cell>
        </row>
        <row r="123">
          <cell r="A123">
            <v>129</v>
          </cell>
          <cell r="B123" t="str">
            <v>Supporting Local</v>
          </cell>
        </row>
        <row r="124">
          <cell r="A124">
            <v>133</v>
          </cell>
          <cell r="B124" t="str">
            <v>Commuter &amp; Express Bus</v>
          </cell>
        </row>
        <row r="125">
          <cell r="A125">
            <v>134</v>
          </cell>
          <cell r="B125" t="str">
            <v>Commuter &amp; Express Bus</v>
          </cell>
        </row>
        <row r="126">
          <cell r="A126">
            <v>135</v>
          </cell>
          <cell r="B126" t="str">
            <v>Commuter &amp; Express Bus</v>
          </cell>
        </row>
        <row r="127">
          <cell r="A127">
            <v>141</v>
          </cell>
          <cell r="B127" t="str">
            <v>Core Local</v>
          </cell>
        </row>
        <row r="128">
          <cell r="A128">
            <v>146</v>
          </cell>
          <cell r="B128" t="str">
            <v>Commuter &amp; Express Bus</v>
          </cell>
        </row>
        <row r="129">
          <cell r="A129">
            <v>156</v>
          </cell>
          <cell r="B129" t="str">
            <v>Commuter &amp; Express Bus</v>
          </cell>
        </row>
        <row r="130">
          <cell r="A130">
            <v>219</v>
          </cell>
          <cell r="B130" t="str">
            <v>Suburban Local</v>
          </cell>
        </row>
        <row r="131">
          <cell r="A131">
            <v>219</v>
          </cell>
          <cell r="B131" t="str">
            <v>Suburban Local</v>
          </cell>
        </row>
        <row r="132">
          <cell r="A132">
            <v>223</v>
          </cell>
          <cell r="B132" t="str">
            <v>Suburban Local</v>
          </cell>
        </row>
        <row r="133">
          <cell r="A133">
            <v>225</v>
          </cell>
          <cell r="B133" t="str">
            <v>Suburban Local</v>
          </cell>
        </row>
        <row r="134">
          <cell r="A134">
            <v>225</v>
          </cell>
          <cell r="B134" t="str">
            <v>Suburban Local</v>
          </cell>
        </row>
        <row r="135">
          <cell r="A135">
            <v>227</v>
          </cell>
          <cell r="B135" t="str">
            <v>Suburban Local</v>
          </cell>
        </row>
        <row r="136">
          <cell r="A136">
            <v>227</v>
          </cell>
          <cell r="B136" t="str">
            <v>Suburban Local</v>
          </cell>
        </row>
        <row r="137">
          <cell r="A137">
            <v>250</v>
          </cell>
          <cell r="B137" t="str">
            <v>Commuter &amp; Express Bus</v>
          </cell>
        </row>
        <row r="138">
          <cell r="A138">
            <v>252</v>
          </cell>
          <cell r="B138" t="str">
            <v>Commuter &amp; Express Bus</v>
          </cell>
        </row>
        <row r="139">
          <cell r="A139">
            <v>261</v>
          </cell>
          <cell r="B139" t="str">
            <v>Commuter &amp; Express Bus</v>
          </cell>
        </row>
        <row r="140">
          <cell r="A140">
            <v>262</v>
          </cell>
          <cell r="B140" t="str">
            <v>Core Local</v>
          </cell>
        </row>
        <row r="141">
          <cell r="A141">
            <v>263</v>
          </cell>
          <cell r="B141" t="str">
            <v>Commuter &amp; Express Bus</v>
          </cell>
        </row>
        <row r="142">
          <cell r="A142">
            <v>264</v>
          </cell>
          <cell r="B142" t="str">
            <v>Commuter &amp; Express Bus</v>
          </cell>
        </row>
        <row r="143">
          <cell r="A143">
            <v>265</v>
          </cell>
          <cell r="B143" t="str">
            <v>Commuter &amp; Express Bus</v>
          </cell>
        </row>
        <row r="144">
          <cell r="A144">
            <v>270</v>
          </cell>
          <cell r="B144" t="str">
            <v>Commuter &amp; Express Bus</v>
          </cell>
        </row>
        <row r="145">
          <cell r="A145">
            <v>272</v>
          </cell>
          <cell r="B145" t="str">
            <v>Commuter &amp; Express Bus</v>
          </cell>
        </row>
        <row r="146">
          <cell r="A146">
            <v>275</v>
          </cell>
          <cell r="B146" t="str">
            <v>Commuter &amp; Express Bus</v>
          </cell>
        </row>
        <row r="147">
          <cell r="A147">
            <v>288</v>
          </cell>
          <cell r="B147" t="str">
            <v>Commuter &amp; Express Bus</v>
          </cell>
        </row>
        <row r="148">
          <cell r="A148">
            <v>294</v>
          </cell>
          <cell r="B148" t="str">
            <v>Commuter &amp; Express Bus</v>
          </cell>
        </row>
        <row r="149">
          <cell r="A149">
            <v>350</v>
          </cell>
          <cell r="B149" t="str">
            <v>Commuter &amp; Express Bus</v>
          </cell>
        </row>
        <row r="150">
          <cell r="A150">
            <v>351</v>
          </cell>
          <cell r="B150" t="str">
            <v>Commuter &amp; Express Bus</v>
          </cell>
        </row>
        <row r="151">
          <cell r="A151">
            <v>353</v>
          </cell>
          <cell r="B151" t="str">
            <v>Commuter &amp; Express Bus</v>
          </cell>
        </row>
        <row r="152">
          <cell r="A152">
            <v>355</v>
          </cell>
          <cell r="B152" t="str">
            <v>Commuter &amp; Express Bus</v>
          </cell>
        </row>
        <row r="153">
          <cell r="A153">
            <v>361</v>
          </cell>
          <cell r="B153" t="str">
            <v>Commuter &amp; Express Bus</v>
          </cell>
        </row>
        <row r="154">
          <cell r="A154">
            <v>363</v>
          </cell>
          <cell r="B154" t="str">
            <v>Commuter &amp; Express Bus</v>
          </cell>
        </row>
        <row r="155">
          <cell r="A155">
            <v>364</v>
          </cell>
          <cell r="B155" t="str">
            <v>Commuter &amp; Express Bus</v>
          </cell>
        </row>
        <row r="156">
          <cell r="A156">
            <v>365</v>
          </cell>
          <cell r="B156" t="str">
            <v>Commuter &amp; Express Bus</v>
          </cell>
        </row>
        <row r="157">
          <cell r="A157">
            <v>375</v>
          </cell>
          <cell r="B157" t="str">
            <v>Commuter &amp; Express Bus</v>
          </cell>
        </row>
        <row r="158">
          <cell r="A158">
            <v>415</v>
          </cell>
          <cell r="B158" t="str">
            <v>Suburban Local</v>
          </cell>
        </row>
        <row r="159">
          <cell r="A159">
            <v>417</v>
          </cell>
          <cell r="B159" t="str">
            <v>Commuter &amp; Express Bus</v>
          </cell>
        </row>
        <row r="160">
          <cell r="A160">
            <v>420</v>
          </cell>
          <cell r="B160" t="str">
            <v>Suburban Local</v>
          </cell>
        </row>
        <row r="161">
          <cell r="A161">
            <v>420</v>
          </cell>
          <cell r="B161" t="str">
            <v>Suburban Local</v>
          </cell>
        </row>
        <row r="162">
          <cell r="A162">
            <v>420</v>
          </cell>
          <cell r="B162" t="str">
            <v>Suburban Local</v>
          </cell>
        </row>
        <row r="163">
          <cell r="A163">
            <v>421</v>
          </cell>
          <cell r="B163" t="str">
            <v>Suburban Local</v>
          </cell>
        </row>
        <row r="164">
          <cell r="A164">
            <v>426</v>
          </cell>
          <cell r="B164" t="str">
            <v>Suburban Local</v>
          </cell>
        </row>
        <row r="165">
          <cell r="A165">
            <v>436</v>
          </cell>
          <cell r="B165" t="str">
            <v>Suburban Local</v>
          </cell>
        </row>
        <row r="166">
          <cell r="A166">
            <v>440</v>
          </cell>
          <cell r="B166" t="str">
            <v>Suburban Local</v>
          </cell>
        </row>
        <row r="167">
          <cell r="A167">
            <v>440</v>
          </cell>
          <cell r="B167" t="str">
            <v>Suburban Local</v>
          </cell>
        </row>
        <row r="168">
          <cell r="A168">
            <v>440</v>
          </cell>
          <cell r="B168" t="str">
            <v>Suburban Local</v>
          </cell>
        </row>
        <row r="169">
          <cell r="A169">
            <v>442</v>
          </cell>
          <cell r="B169" t="str">
            <v>Suburban Local</v>
          </cell>
        </row>
        <row r="170">
          <cell r="A170">
            <v>442</v>
          </cell>
          <cell r="B170" t="str">
            <v>Suburban Local</v>
          </cell>
        </row>
        <row r="171">
          <cell r="A171">
            <v>442</v>
          </cell>
          <cell r="B171" t="str">
            <v>Suburban Local</v>
          </cell>
        </row>
        <row r="172">
          <cell r="A172">
            <v>444</v>
          </cell>
          <cell r="B172" t="str">
            <v>Suburban Local</v>
          </cell>
        </row>
        <row r="173">
          <cell r="A173">
            <v>444</v>
          </cell>
          <cell r="B173" t="str">
            <v>Suburban Local</v>
          </cell>
        </row>
        <row r="174">
          <cell r="A174">
            <v>444</v>
          </cell>
          <cell r="B174" t="str">
            <v>Suburban Local</v>
          </cell>
        </row>
        <row r="175">
          <cell r="A175">
            <v>445</v>
          </cell>
          <cell r="B175" t="str">
            <v>Suburban Local</v>
          </cell>
        </row>
        <row r="176">
          <cell r="A176">
            <v>445</v>
          </cell>
          <cell r="B176" t="str">
            <v>Suburban Local</v>
          </cell>
        </row>
        <row r="177">
          <cell r="A177">
            <v>446</v>
          </cell>
          <cell r="B177" t="str">
            <v>Suburban Local</v>
          </cell>
        </row>
        <row r="178">
          <cell r="A178">
            <v>452</v>
          </cell>
          <cell r="B178" t="str">
            <v>Commuter &amp; Express Bus</v>
          </cell>
        </row>
        <row r="179">
          <cell r="A179">
            <v>460</v>
          </cell>
          <cell r="B179" t="str">
            <v>Commuter &amp; Express Bus</v>
          </cell>
        </row>
        <row r="180">
          <cell r="A180">
            <v>464</v>
          </cell>
          <cell r="B180" t="str">
            <v>Commuter &amp; Express Bus</v>
          </cell>
        </row>
        <row r="181">
          <cell r="A181">
            <v>465</v>
          </cell>
          <cell r="B181" t="str">
            <v>Commuter &amp; Express Bus</v>
          </cell>
        </row>
        <row r="182">
          <cell r="A182">
            <v>467</v>
          </cell>
          <cell r="B182" t="str">
            <v>Commuter &amp; Express Bus</v>
          </cell>
        </row>
        <row r="183">
          <cell r="A183">
            <v>470</v>
          </cell>
          <cell r="B183" t="str">
            <v>Commuter &amp; Express Bus</v>
          </cell>
        </row>
        <row r="184">
          <cell r="A184">
            <v>472</v>
          </cell>
          <cell r="B184" t="str">
            <v>Commuter &amp; Express Bus</v>
          </cell>
        </row>
        <row r="185">
          <cell r="A185">
            <v>475</v>
          </cell>
          <cell r="B185" t="str">
            <v>Commuter &amp; Express Bus</v>
          </cell>
        </row>
        <row r="186">
          <cell r="A186">
            <v>476</v>
          </cell>
          <cell r="B186" t="str">
            <v>Commuter &amp; Express Bus</v>
          </cell>
        </row>
        <row r="187">
          <cell r="A187">
            <v>477</v>
          </cell>
          <cell r="B187" t="str">
            <v>Commuter &amp; Express Bus</v>
          </cell>
        </row>
        <row r="188">
          <cell r="A188">
            <v>478</v>
          </cell>
          <cell r="B188" t="str">
            <v>Commuter &amp; Express Bus</v>
          </cell>
        </row>
        <row r="189">
          <cell r="A189">
            <v>479</v>
          </cell>
          <cell r="B189" t="str">
            <v>Commuter &amp; Express Bus</v>
          </cell>
        </row>
        <row r="190">
          <cell r="A190">
            <v>480</v>
          </cell>
          <cell r="B190" t="str">
            <v>Commuter &amp; Express Bus</v>
          </cell>
        </row>
        <row r="191">
          <cell r="A191">
            <v>484</v>
          </cell>
          <cell r="B191" t="str">
            <v>Commuter &amp; Express Bus</v>
          </cell>
        </row>
        <row r="192">
          <cell r="A192">
            <v>489</v>
          </cell>
          <cell r="B192" t="str">
            <v>Suburban Local</v>
          </cell>
        </row>
        <row r="193">
          <cell r="A193">
            <v>490</v>
          </cell>
          <cell r="B193" t="str">
            <v>Commuter &amp; Express Bus</v>
          </cell>
        </row>
        <row r="194">
          <cell r="A194">
            <v>491</v>
          </cell>
          <cell r="B194" t="str">
            <v>Commuter &amp; Express Bus</v>
          </cell>
        </row>
        <row r="195">
          <cell r="A195">
            <v>492</v>
          </cell>
          <cell r="B195" t="str">
            <v>Commuter &amp; Express Bus</v>
          </cell>
        </row>
        <row r="196">
          <cell r="A196">
            <v>493</v>
          </cell>
          <cell r="B196" t="str">
            <v>Commuter &amp; Express Bus</v>
          </cell>
        </row>
        <row r="197">
          <cell r="A197">
            <v>495</v>
          </cell>
          <cell r="B197" t="str">
            <v>Commuter &amp; Express Bus</v>
          </cell>
        </row>
        <row r="198">
          <cell r="A198">
            <v>495</v>
          </cell>
          <cell r="B198" t="str">
            <v>Commuter &amp; Express Bus</v>
          </cell>
        </row>
        <row r="199">
          <cell r="A199">
            <v>495</v>
          </cell>
          <cell r="B199" t="str">
            <v>Commuter &amp; Express Bus</v>
          </cell>
        </row>
        <row r="200">
          <cell r="A200">
            <v>497</v>
          </cell>
          <cell r="B200" t="str">
            <v>Suburban Local</v>
          </cell>
        </row>
        <row r="201">
          <cell r="A201">
            <v>497</v>
          </cell>
          <cell r="B201" t="str">
            <v>Suburban Local</v>
          </cell>
        </row>
        <row r="202">
          <cell r="A202">
            <v>497</v>
          </cell>
          <cell r="B202" t="str">
            <v>Suburban Local</v>
          </cell>
        </row>
        <row r="203">
          <cell r="A203">
            <v>498</v>
          </cell>
          <cell r="B203" t="str">
            <v>Commuter &amp; Express Bus</v>
          </cell>
        </row>
        <row r="204">
          <cell r="A204">
            <v>499</v>
          </cell>
          <cell r="B204" t="str">
            <v>Suburban Local</v>
          </cell>
        </row>
        <row r="205">
          <cell r="A205">
            <v>499</v>
          </cell>
          <cell r="B205" t="str">
            <v>Suburban Local</v>
          </cell>
        </row>
        <row r="206">
          <cell r="A206">
            <v>499</v>
          </cell>
          <cell r="B206" t="str">
            <v>Suburban Local</v>
          </cell>
        </row>
        <row r="207">
          <cell r="A207">
            <v>515</v>
          </cell>
          <cell r="B207" t="str">
            <v>Suburban Local</v>
          </cell>
        </row>
        <row r="208">
          <cell r="A208">
            <v>515</v>
          </cell>
          <cell r="B208" t="str">
            <v>Suburban Local</v>
          </cell>
        </row>
        <row r="209">
          <cell r="A209">
            <v>515</v>
          </cell>
          <cell r="B209" t="str">
            <v>Suburban Local</v>
          </cell>
        </row>
        <row r="210">
          <cell r="A210">
            <v>535</v>
          </cell>
          <cell r="B210" t="str">
            <v>Commuter &amp; Express Bus</v>
          </cell>
        </row>
        <row r="211">
          <cell r="A211">
            <v>537</v>
          </cell>
          <cell r="B211" t="str">
            <v>Suburban Local</v>
          </cell>
        </row>
        <row r="212">
          <cell r="A212">
            <v>538</v>
          </cell>
          <cell r="B212" t="str">
            <v>Suburban Local</v>
          </cell>
        </row>
        <row r="213">
          <cell r="A213">
            <v>538</v>
          </cell>
          <cell r="B213" t="str">
            <v>Suburban Local</v>
          </cell>
        </row>
        <row r="214">
          <cell r="A214">
            <v>538</v>
          </cell>
          <cell r="B214" t="str">
            <v>Suburban Local</v>
          </cell>
        </row>
        <row r="215">
          <cell r="A215">
            <v>539</v>
          </cell>
          <cell r="B215" t="str">
            <v>Suburban Local</v>
          </cell>
        </row>
        <row r="216">
          <cell r="A216">
            <v>539</v>
          </cell>
          <cell r="B216" t="str">
            <v>Suburban Local</v>
          </cell>
        </row>
        <row r="217">
          <cell r="A217">
            <v>539</v>
          </cell>
          <cell r="B217" t="str">
            <v>Suburban Local</v>
          </cell>
        </row>
        <row r="218">
          <cell r="A218">
            <v>540</v>
          </cell>
          <cell r="B218" t="str">
            <v>Suburban Local</v>
          </cell>
        </row>
        <row r="219">
          <cell r="A219">
            <v>540</v>
          </cell>
          <cell r="B219" t="str">
            <v>Suburban Local</v>
          </cell>
        </row>
        <row r="220">
          <cell r="A220">
            <v>540</v>
          </cell>
          <cell r="B220" t="str">
            <v>Suburban Local</v>
          </cell>
        </row>
        <row r="221">
          <cell r="A221">
            <v>542</v>
          </cell>
          <cell r="B221" t="str">
            <v>Suburban Local</v>
          </cell>
        </row>
        <row r="222">
          <cell r="A222">
            <v>552</v>
          </cell>
          <cell r="B222" t="str">
            <v>Commuter &amp; Express Bus</v>
          </cell>
        </row>
        <row r="223">
          <cell r="A223">
            <v>553</v>
          </cell>
          <cell r="B223" t="str">
            <v>Commuter &amp; Express Bus</v>
          </cell>
        </row>
        <row r="224">
          <cell r="A224">
            <v>554</v>
          </cell>
          <cell r="B224" t="str">
            <v>Commuter &amp; Express Bus</v>
          </cell>
        </row>
        <row r="225">
          <cell r="A225">
            <v>558</v>
          </cell>
          <cell r="B225" t="str">
            <v>Commuter &amp; Express Bus</v>
          </cell>
        </row>
        <row r="226">
          <cell r="A226">
            <v>578</v>
          </cell>
          <cell r="B226" t="str">
            <v>Commuter &amp; Express Bus</v>
          </cell>
        </row>
        <row r="227">
          <cell r="A227">
            <v>579</v>
          </cell>
          <cell r="B227" t="str">
            <v>Commuter &amp; Express Bus</v>
          </cell>
        </row>
        <row r="228">
          <cell r="A228">
            <v>587</v>
          </cell>
          <cell r="B228" t="str">
            <v>Commuter &amp; Express Bus</v>
          </cell>
        </row>
        <row r="229">
          <cell r="A229">
            <v>588</v>
          </cell>
          <cell r="B229" t="str">
            <v>Commuter &amp; Express Bus</v>
          </cell>
        </row>
        <row r="230">
          <cell r="A230">
            <v>589</v>
          </cell>
          <cell r="B230" t="str">
            <v>Commuter &amp; Express Bus</v>
          </cell>
        </row>
        <row r="231">
          <cell r="A231">
            <v>597</v>
          </cell>
          <cell r="B231" t="str">
            <v>Commuter &amp; Express Bus</v>
          </cell>
        </row>
        <row r="232">
          <cell r="A232">
            <v>600</v>
          </cell>
          <cell r="B232" t="str">
            <v>Suburban Local</v>
          </cell>
        </row>
        <row r="233">
          <cell r="A233">
            <v>602</v>
          </cell>
          <cell r="B233" t="str">
            <v>Commuter &amp; Express Bus</v>
          </cell>
        </row>
        <row r="234">
          <cell r="A234">
            <v>604</v>
          </cell>
          <cell r="B234" t="str">
            <v>Suburban Local</v>
          </cell>
        </row>
        <row r="235">
          <cell r="A235">
            <v>612</v>
          </cell>
          <cell r="B235" t="str">
            <v>Suburban Local</v>
          </cell>
        </row>
        <row r="236">
          <cell r="A236">
            <v>612</v>
          </cell>
          <cell r="B236" t="str">
            <v>Suburban Local</v>
          </cell>
        </row>
        <row r="237">
          <cell r="A237">
            <v>612</v>
          </cell>
          <cell r="B237" t="str">
            <v>Suburban Local</v>
          </cell>
        </row>
        <row r="238">
          <cell r="A238">
            <v>615</v>
          </cell>
          <cell r="B238" t="str">
            <v>Suburban Local</v>
          </cell>
        </row>
        <row r="239">
          <cell r="A239">
            <v>615</v>
          </cell>
          <cell r="B239" t="str">
            <v>Suburban Local</v>
          </cell>
        </row>
        <row r="240">
          <cell r="A240">
            <v>643</v>
          </cell>
          <cell r="B240" t="str">
            <v>Commuter &amp; Express Bus</v>
          </cell>
        </row>
        <row r="241">
          <cell r="A241">
            <v>645</v>
          </cell>
          <cell r="B241" t="str">
            <v>Commuter &amp; Express Bus</v>
          </cell>
        </row>
        <row r="242">
          <cell r="A242">
            <v>645</v>
          </cell>
          <cell r="B242" t="str">
            <v>Commuter &amp; Express Bus</v>
          </cell>
        </row>
        <row r="243">
          <cell r="A243">
            <v>645</v>
          </cell>
          <cell r="B243" t="str">
            <v>Commuter &amp; Express Bus</v>
          </cell>
        </row>
        <row r="244">
          <cell r="A244">
            <v>652</v>
          </cell>
          <cell r="B244" t="str">
            <v>Commuter &amp; Express Bus</v>
          </cell>
        </row>
        <row r="245">
          <cell r="A245">
            <v>663</v>
          </cell>
          <cell r="B245" t="str">
            <v>Commuter &amp; Express Bus</v>
          </cell>
        </row>
        <row r="246">
          <cell r="A246">
            <v>664</v>
          </cell>
          <cell r="B246" t="str">
            <v>Commuter &amp; Express Bus</v>
          </cell>
        </row>
        <row r="247">
          <cell r="A247">
            <v>664</v>
          </cell>
          <cell r="B247" t="str">
            <v>Commuter &amp; Express Bus</v>
          </cell>
        </row>
        <row r="248">
          <cell r="A248">
            <v>667</v>
          </cell>
          <cell r="B248" t="str">
            <v>Commuter &amp; Express Bus</v>
          </cell>
        </row>
        <row r="249">
          <cell r="A249">
            <v>668</v>
          </cell>
          <cell r="B249" t="str">
            <v>Commuter &amp; Express Bus</v>
          </cell>
        </row>
        <row r="250">
          <cell r="A250">
            <v>670</v>
          </cell>
          <cell r="B250" t="str">
            <v>Commuter &amp; Express Bus</v>
          </cell>
        </row>
        <row r="251">
          <cell r="A251">
            <v>671</v>
          </cell>
          <cell r="B251" t="str">
            <v>Commuter &amp; Express Bus</v>
          </cell>
        </row>
        <row r="252">
          <cell r="A252">
            <v>672</v>
          </cell>
          <cell r="B252" t="str">
            <v>Commuter &amp; Express Bus</v>
          </cell>
        </row>
        <row r="253">
          <cell r="A253">
            <v>673</v>
          </cell>
          <cell r="B253" t="str">
            <v>Commuter &amp; Express Bus</v>
          </cell>
        </row>
        <row r="254">
          <cell r="A254">
            <v>677</v>
          </cell>
          <cell r="B254" t="str">
            <v>Commuter &amp; Express Bus</v>
          </cell>
        </row>
        <row r="255">
          <cell r="A255">
            <v>679</v>
          </cell>
          <cell r="B255" t="str">
            <v>Commuter &amp; Express Bus</v>
          </cell>
        </row>
        <row r="256">
          <cell r="A256">
            <v>682</v>
          </cell>
          <cell r="B256" t="str">
            <v>State Fair</v>
          </cell>
        </row>
        <row r="257">
          <cell r="A257">
            <v>690</v>
          </cell>
          <cell r="B257" t="str">
            <v>Commuter &amp; Express Bus</v>
          </cell>
        </row>
        <row r="258">
          <cell r="A258">
            <v>695</v>
          </cell>
          <cell r="B258" t="str">
            <v>Commuter &amp; Express Bus</v>
          </cell>
        </row>
        <row r="259">
          <cell r="A259">
            <v>697</v>
          </cell>
          <cell r="B259" t="str">
            <v>Commuter &amp; Express Bus</v>
          </cell>
        </row>
        <row r="260">
          <cell r="A260">
            <v>698</v>
          </cell>
          <cell r="B260" t="str">
            <v>Commuter &amp; Express Bus</v>
          </cell>
        </row>
        <row r="261">
          <cell r="A261">
            <v>699</v>
          </cell>
          <cell r="B261" t="str">
            <v>Commuter &amp; Express Bus</v>
          </cell>
        </row>
        <row r="262">
          <cell r="A262">
            <v>705</v>
          </cell>
          <cell r="B262" t="str">
            <v>Suburban Local</v>
          </cell>
        </row>
        <row r="263">
          <cell r="A263">
            <v>716</v>
          </cell>
          <cell r="B263" t="str">
            <v>Suburban Local</v>
          </cell>
        </row>
        <row r="264">
          <cell r="A264">
            <v>716</v>
          </cell>
          <cell r="B264" t="str">
            <v>Suburban Local</v>
          </cell>
        </row>
        <row r="265">
          <cell r="A265">
            <v>717</v>
          </cell>
          <cell r="B265" t="str">
            <v>Suburban Local</v>
          </cell>
        </row>
        <row r="266">
          <cell r="A266">
            <v>721</v>
          </cell>
          <cell r="B266" t="str">
            <v>Suburban Local</v>
          </cell>
        </row>
        <row r="267">
          <cell r="A267">
            <v>721</v>
          </cell>
          <cell r="B267" t="str">
            <v>Suburban Local</v>
          </cell>
        </row>
        <row r="268">
          <cell r="A268">
            <v>721</v>
          </cell>
          <cell r="B268" t="str">
            <v>Suburban Local</v>
          </cell>
        </row>
        <row r="269">
          <cell r="A269">
            <v>722</v>
          </cell>
          <cell r="B269" t="str">
            <v>Suburban Local</v>
          </cell>
        </row>
        <row r="270">
          <cell r="A270">
            <v>722</v>
          </cell>
          <cell r="B270" t="str">
            <v>Suburban Local</v>
          </cell>
        </row>
        <row r="271">
          <cell r="A271">
            <v>722</v>
          </cell>
          <cell r="B271" t="str">
            <v>Suburban Local</v>
          </cell>
        </row>
        <row r="272">
          <cell r="A272">
            <v>723</v>
          </cell>
          <cell r="B272" t="str">
            <v>Suburban Local</v>
          </cell>
        </row>
        <row r="273">
          <cell r="A273">
            <v>723</v>
          </cell>
          <cell r="B273" t="str">
            <v>Suburban Local</v>
          </cell>
        </row>
        <row r="274">
          <cell r="A274">
            <v>723</v>
          </cell>
          <cell r="B274" t="str">
            <v>Suburban Local</v>
          </cell>
        </row>
        <row r="275">
          <cell r="A275">
            <v>724</v>
          </cell>
          <cell r="B275" t="str">
            <v>Suburban Local</v>
          </cell>
        </row>
        <row r="276">
          <cell r="A276">
            <v>724</v>
          </cell>
          <cell r="B276" t="str">
            <v>Suburban Local</v>
          </cell>
        </row>
        <row r="277">
          <cell r="A277">
            <v>724</v>
          </cell>
          <cell r="B277" t="str">
            <v>Suburban Local</v>
          </cell>
        </row>
        <row r="278">
          <cell r="A278">
            <v>740</v>
          </cell>
          <cell r="B278" t="str">
            <v>Suburban Local</v>
          </cell>
        </row>
        <row r="279">
          <cell r="A279">
            <v>741</v>
          </cell>
          <cell r="B279" t="str">
            <v>Suburban Local</v>
          </cell>
        </row>
        <row r="280">
          <cell r="A280">
            <v>742</v>
          </cell>
          <cell r="B280" t="str">
            <v>Commuter &amp; Express Bus</v>
          </cell>
        </row>
        <row r="281">
          <cell r="A281">
            <v>747</v>
          </cell>
          <cell r="B281" t="str">
            <v>Commuter &amp; Express Bus</v>
          </cell>
        </row>
        <row r="282">
          <cell r="A282">
            <v>755</v>
          </cell>
          <cell r="B282" t="str">
            <v>Commuter &amp; Express Bus</v>
          </cell>
        </row>
        <row r="283">
          <cell r="A283">
            <v>756</v>
          </cell>
          <cell r="B283" t="str">
            <v>Commuter &amp; Express Bus</v>
          </cell>
        </row>
        <row r="284">
          <cell r="A284">
            <v>758</v>
          </cell>
          <cell r="B284" t="str">
            <v>Commuter &amp; Express Bus</v>
          </cell>
        </row>
        <row r="285">
          <cell r="A285">
            <v>760</v>
          </cell>
          <cell r="B285" t="str">
            <v>Commuter &amp; Express Bus</v>
          </cell>
        </row>
        <row r="286">
          <cell r="A286">
            <v>761</v>
          </cell>
          <cell r="B286" t="str">
            <v>Commuter &amp; Express Bus</v>
          </cell>
        </row>
        <row r="287">
          <cell r="A287">
            <v>762</v>
          </cell>
          <cell r="B287" t="str">
            <v>Commuter &amp; Express Bus</v>
          </cell>
        </row>
        <row r="288">
          <cell r="A288">
            <v>763</v>
          </cell>
          <cell r="B288" t="str">
            <v>Commuter &amp; Express Bus</v>
          </cell>
        </row>
        <row r="289">
          <cell r="A289">
            <v>764</v>
          </cell>
          <cell r="B289" t="str">
            <v>Commuter &amp; Express Bus</v>
          </cell>
        </row>
        <row r="290">
          <cell r="A290">
            <v>765</v>
          </cell>
          <cell r="B290" t="str">
            <v>Commuter &amp; Express Bus</v>
          </cell>
        </row>
        <row r="291">
          <cell r="A291">
            <v>766</v>
          </cell>
          <cell r="B291" t="str">
            <v>Commuter &amp; Express Bus</v>
          </cell>
        </row>
        <row r="292">
          <cell r="A292">
            <v>767</v>
          </cell>
          <cell r="B292" t="str">
            <v>Commuter &amp; Express Bus</v>
          </cell>
        </row>
        <row r="293">
          <cell r="A293">
            <v>768</v>
          </cell>
          <cell r="B293" t="str">
            <v>Commuter &amp; Express Bus</v>
          </cell>
        </row>
        <row r="294">
          <cell r="A294">
            <v>771</v>
          </cell>
          <cell r="B294" t="str">
            <v>Suburban Local</v>
          </cell>
        </row>
        <row r="295">
          <cell r="A295">
            <v>772</v>
          </cell>
          <cell r="B295" t="str">
            <v>Commuter &amp; Express Bus</v>
          </cell>
        </row>
        <row r="296">
          <cell r="A296">
            <v>774</v>
          </cell>
          <cell r="B296" t="str">
            <v>Commuter &amp; Express Bus</v>
          </cell>
        </row>
        <row r="297">
          <cell r="A297">
            <v>776</v>
          </cell>
          <cell r="B297" t="str">
            <v>Commuter &amp; Express Bus</v>
          </cell>
        </row>
        <row r="298">
          <cell r="A298">
            <v>777</v>
          </cell>
          <cell r="B298" t="str">
            <v>Commuter &amp; Express Bus</v>
          </cell>
        </row>
        <row r="299">
          <cell r="A299">
            <v>790</v>
          </cell>
          <cell r="B299" t="str">
            <v>Commuter &amp; Express Bus</v>
          </cell>
        </row>
        <row r="300">
          <cell r="A300">
            <v>791</v>
          </cell>
          <cell r="B300" t="str">
            <v>Suburban Local</v>
          </cell>
        </row>
        <row r="301">
          <cell r="A301">
            <v>793</v>
          </cell>
          <cell r="B301" t="str">
            <v>Commuter &amp; Express Bus</v>
          </cell>
        </row>
        <row r="302">
          <cell r="A302">
            <v>795</v>
          </cell>
          <cell r="B302" t="str">
            <v>Commuter &amp; Express Bus</v>
          </cell>
        </row>
        <row r="303">
          <cell r="A303">
            <v>801</v>
          </cell>
          <cell r="B303" t="str">
            <v>Suburban Local</v>
          </cell>
        </row>
        <row r="304">
          <cell r="A304">
            <v>805</v>
          </cell>
          <cell r="B304" t="str">
            <v>Suburban Local</v>
          </cell>
        </row>
        <row r="305">
          <cell r="A305">
            <v>805</v>
          </cell>
          <cell r="B305" t="str">
            <v>Suburban Local</v>
          </cell>
        </row>
        <row r="306">
          <cell r="A306">
            <v>824</v>
          </cell>
          <cell r="B306" t="str">
            <v>Core Local</v>
          </cell>
        </row>
        <row r="307">
          <cell r="A307">
            <v>825</v>
          </cell>
          <cell r="B307" t="str">
            <v>Core Local</v>
          </cell>
        </row>
        <row r="308">
          <cell r="A308">
            <v>831</v>
          </cell>
          <cell r="B308" t="str">
            <v>Suburban Local</v>
          </cell>
        </row>
        <row r="309">
          <cell r="A309">
            <v>850</v>
          </cell>
          <cell r="B309" t="str">
            <v>Commuter &amp; Express Bus</v>
          </cell>
        </row>
        <row r="310">
          <cell r="A310">
            <v>852</v>
          </cell>
          <cell r="B310" t="str">
            <v>Commuter &amp; Express Bus</v>
          </cell>
        </row>
        <row r="311">
          <cell r="A311">
            <v>852</v>
          </cell>
          <cell r="B311" t="str">
            <v>Commuter &amp; Express Bus</v>
          </cell>
        </row>
        <row r="312">
          <cell r="A312">
            <v>854</v>
          </cell>
          <cell r="B312" t="str">
            <v>Commuter &amp; Express Bus</v>
          </cell>
        </row>
        <row r="313">
          <cell r="A313">
            <v>860</v>
          </cell>
          <cell r="B313" t="str">
            <v>Commuter &amp; Express Bus</v>
          </cell>
        </row>
        <row r="314">
          <cell r="A314">
            <v>865</v>
          </cell>
          <cell r="B314" t="str">
            <v>Commuter &amp; Express Bus</v>
          </cell>
        </row>
        <row r="315">
          <cell r="A315">
            <v>888</v>
          </cell>
          <cell r="B315" t="str">
            <v>Commuter Rail</v>
          </cell>
        </row>
        <row r="316">
          <cell r="A316">
            <v>888</v>
          </cell>
          <cell r="B316" t="str">
            <v>Commuter Rail</v>
          </cell>
        </row>
        <row r="317">
          <cell r="A317">
            <v>888</v>
          </cell>
          <cell r="B317" t="str">
            <v>Commuter Rail</v>
          </cell>
        </row>
        <row r="318">
          <cell r="A318">
            <v>921</v>
          </cell>
          <cell r="B318" t="str">
            <v>BRT - Arterial</v>
          </cell>
        </row>
        <row r="319">
          <cell r="A319">
            <v>921</v>
          </cell>
          <cell r="B319" t="str">
            <v>BRT - Arterial</v>
          </cell>
        </row>
        <row r="320">
          <cell r="A320">
            <v>921</v>
          </cell>
          <cell r="B320" t="str">
            <v>BRT - Arterial</v>
          </cell>
        </row>
        <row r="321">
          <cell r="A321">
            <v>923</v>
          </cell>
          <cell r="B321" t="str">
            <v>BRT - Arterial</v>
          </cell>
        </row>
        <row r="322">
          <cell r="A322">
            <v>923</v>
          </cell>
          <cell r="B322" t="str">
            <v>BRT - Arterial</v>
          </cell>
        </row>
        <row r="323">
          <cell r="A323">
            <v>923</v>
          </cell>
          <cell r="B323" t="str">
            <v>BRT - Arterial</v>
          </cell>
        </row>
        <row r="324">
          <cell r="A324" t="str">
            <v xml:space="preserve">445 / 438 </v>
          </cell>
          <cell r="B324" t="str">
            <v>Suburban Local</v>
          </cell>
        </row>
        <row r="325">
          <cell r="A325" t="str">
            <v>Blue Line</v>
          </cell>
          <cell r="B325" t="str">
            <v>Light Rail</v>
          </cell>
        </row>
        <row r="326">
          <cell r="A326" t="str">
            <v>Blue Line</v>
          </cell>
          <cell r="B326" t="str">
            <v>Light Rail</v>
          </cell>
        </row>
        <row r="327">
          <cell r="A327" t="str">
            <v>Blue Line</v>
          </cell>
          <cell r="B327" t="str">
            <v>Light Rail</v>
          </cell>
        </row>
        <row r="328">
          <cell r="A328" t="str">
            <v>Green Line</v>
          </cell>
          <cell r="B328" t="str">
            <v>Light Rail</v>
          </cell>
        </row>
        <row r="329">
          <cell r="A329" t="str">
            <v>Green Line</v>
          </cell>
          <cell r="B329" t="str">
            <v>Light Rail</v>
          </cell>
        </row>
        <row r="330">
          <cell r="A330" t="str">
            <v>Green Line</v>
          </cell>
          <cell r="B330" t="str">
            <v>Light Rail</v>
          </cell>
        </row>
        <row r="331">
          <cell r="A331" t="str">
            <v>MY RIDE</v>
          </cell>
          <cell r="B331" t="str">
            <v>General Demand Response</v>
          </cell>
        </row>
        <row r="332">
          <cell r="A332" t="str">
            <v>Plymouth Dial a Ride</v>
          </cell>
          <cell r="B332" t="str">
            <v>General Demand Response</v>
          </cell>
        </row>
        <row r="333">
          <cell r="A333" t="str">
            <v>Plymouth Dial a Ride</v>
          </cell>
          <cell r="B333" t="str">
            <v>General Demand Response</v>
          </cell>
        </row>
        <row r="334">
          <cell r="A334" t="str">
            <v>Plymouth Dial a Ride</v>
          </cell>
          <cell r="B334" t="str">
            <v>General Demand Response</v>
          </cell>
        </row>
        <row r="335">
          <cell r="A335">
            <v>780</v>
          </cell>
          <cell r="B335" t="str">
            <v>Commuter &amp; Express Bus</v>
          </cell>
        </row>
        <row r="336">
          <cell r="A336">
            <v>781</v>
          </cell>
          <cell r="B336" t="str">
            <v>Commuter &amp; Express Bus</v>
          </cell>
        </row>
        <row r="337">
          <cell r="A337">
            <v>782</v>
          </cell>
          <cell r="B337" t="str">
            <v>Commuter &amp; Express Bus</v>
          </cell>
        </row>
        <row r="338">
          <cell r="A338">
            <v>783</v>
          </cell>
          <cell r="B338" t="str">
            <v>Commuter &amp; Express Bus</v>
          </cell>
        </row>
        <row r="339">
          <cell r="A339">
            <v>785</v>
          </cell>
          <cell r="B339" t="str">
            <v>Commuter &amp; Express Bus</v>
          </cell>
        </row>
        <row r="340">
          <cell r="A340">
            <v>788</v>
          </cell>
          <cell r="B340" t="str">
            <v>Suburban Local</v>
          </cell>
        </row>
        <row r="341">
          <cell r="A341">
            <v>789</v>
          </cell>
          <cell r="B341" t="str">
            <v>Commuter &amp; Express Bus</v>
          </cell>
        </row>
        <row r="342">
          <cell r="A342" t="str">
            <v>Standby</v>
          </cell>
          <cell r="B342" t="str">
            <v>Commuter &amp; Express Bus</v>
          </cell>
        </row>
        <row r="343">
          <cell r="A343" t="str">
            <v xml:space="preserve">SW Prime </v>
          </cell>
          <cell r="B343" t="str">
            <v>General Demand Response</v>
          </cell>
        </row>
        <row r="344">
          <cell r="A344" t="str">
            <v xml:space="preserve">SW Prime </v>
          </cell>
          <cell r="B344" t="str">
            <v>General Demand Response</v>
          </cell>
        </row>
        <row r="345">
          <cell r="A345" t="str">
            <v>Metro Mobility</v>
          </cell>
          <cell r="B345" t="str">
            <v>ADA DAR</v>
          </cell>
        </row>
        <row r="346">
          <cell r="A346" t="str">
            <v>Transit Link</v>
          </cell>
          <cell r="B346" t="str">
            <v>General Demand Response</v>
          </cell>
        </row>
        <row r="347">
          <cell r="A347" t="str">
            <v>Metro Vanpool</v>
          </cell>
          <cell r="B347" t="str">
            <v>Vanpool</v>
          </cell>
        </row>
        <row r="348">
          <cell r="A348">
            <v>903</v>
          </cell>
          <cell r="B348" t="str">
            <v>BRT - HIghway</v>
          </cell>
        </row>
        <row r="349">
          <cell r="A349">
            <v>903</v>
          </cell>
          <cell r="B349" t="str">
            <v>BRT - HIghway</v>
          </cell>
        </row>
        <row r="350">
          <cell r="A350">
            <v>903</v>
          </cell>
          <cell r="B350" t="str">
            <v>BRT - HIghway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ena, Daniel" id="{6C97B779-00E8-4E50-90E5-460C54A7E3FA}" userId="S::Daniel.Pena@metc.state.mn.us::c4daae94-9239-42f7-b50c-2d9cd3e2c18a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na, Daniel" refreshedDate="44826.594391087965" createdVersion="8" refreshedVersion="8" minRefreshableVersion="3" recordCount="298" xr:uid="{7D0C555E-35EF-43BE-9B2A-4583EC9698B2}">
  <cacheSource type="worksheet">
    <worksheetSource ref="A1:L299" sheet="All Routes"/>
  </cacheSource>
  <cacheFields count="12">
    <cacheField name="Provider" numFmtId="0">
      <sharedItems count="6">
        <s v="MTS"/>
        <s v="Metro Transit"/>
        <s v="Maple Grove"/>
        <s v="SW Transit"/>
        <s v="MVTA"/>
        <s v="Plymouth"/>
      </sharedItems>
    </cacheField>
    <cacheField name="Route" numFmtId="1">
      <sharedItems containsMixedTypes="1" containsNumber="1" containsInteger="1" minValue="2" maxValue="923"/>
    </cacheField>
    <cacheField name="Route Type " numFmtId="0">
      <sharedItems count="13">
        <s v="ADA DAR"/>
        <s v="BRT - Arterial"/>
        <s v="BRT - HIghway"/>
        <s v="Commuter &amp; Express Bus"/>
        <s v="Commuter and Express Bus"/>
        <s v="Commuter Rail"/>
        <s v="Core Local"/>
        <s v="General DAR"/>
        <s v="Light Rail"/>
        <s v="Special Event"/>
        <s v="Suburban Local"/>
        <s v="Supporting Local"/>
        <s v="Vanpool"/>
      </sharedItems>
    </cacheField>
    <cacheField name="Day of Service" numFmtId="1">
      <sharedItems/>
    </cacheField>
    <cacheField name="Total Cost" numFmtId="0">
      <sharedItems containsSemiMixedTypes="0" containsString="0" containsNumber="1" minValue="0" maxValue="80276020"/>
    </cacheField>
    <cacheField name="Fare Revenue" numFmtId="0">
      <sharedItems containsSemiMixedTypes="0" containsString="0" containsNumber="1" minValue="0" maxValue="3981149"/>
    </cacheField>
    <cacheField name="Passenger Trips" numFmtId="0">
      <sharedItems containsSemiMixedTypes="0" containsString="0" containsNumber="1" minValue="0" maxValue="4541649"/>
    </cacheField>
    <cacheField name="In-Service Hours" numFmtId="0">
      <sharedItems containsSemiMixedTypes="0" containsString="0" containsNumber="1" minValue="0" maxValue="1120132"/>
    </cacheField>
    <cacheField name="Total Subsidy" numFmtId="166">
      <sharedItems containsSemiMixedTypes="0" containsString="0" containsNumber="1" minValue="0" maxValue="76294871"/>
    </cacheField>
    <cacheField name="Subsidy per Pass" numFmtId="166">
      <sharedItems containsMixedTypes="1" containsNumber="1" minValue="5.1873520161147821" maxValue="3263.8845869051688"/>
    </cacheField>
    <cacheField name="Farebox Recovery" numFmtId="10">
      <sharedItems containsMixedTypes="1" containsNumber="1" minValue="1.1102268513434276E-3" maxValue="0.53554014245167492"/>
    </cacheField>
    <cacheField name="Pass per In Service Hour" numFmtId="170">
      <sharedItems containsMixedTypes="1" containsNumber="1" minValue="7.3726025286926289E-2" maxValue="118.0254546163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8">
  <r>
    <x v="0"/>
    <s v="Metro Mobility"/>
    <x v="0"/>
    <s v="All Days"/>
    <n v="80276020"/>
    <n v="3981149"/>
    <n v="1414660"/>
    <n v="1120132"/>
    <n v="76294871"/>
    <n v="53.93159557773599"/>
    <n v="4.9593253377534161E-2"/>
    <n v="1.2629404391625272"/>
  </r>
  <r>
    <x v="1"/>
    <n v="921"/>
    <x v="1"/>
    <s v="Weekday"/>
    <n v="6648625.6196498228"/>
    <n v="744324.99432109739"/>
    <n v="711937"/>
    <n v="26912.650000000103"/>
    <n v="5904300.6253287252"/>
    <n v="8.2932908745137919"/>
    <n v="0.11195170805245315"/>
    <n v="26.453619394596863"/>
  </r>
  <r>
    <x v="1"/>
    <n v="923"/>
    <x v="1"/>
    <s v="Weekday"/>
    <n v="7334293.7288185144"/>
    <n v="464390.18239735533"/>
    <n v="958253"/>
    <n v="28792.670000000071"/>
    <n v="6869903.5464211591"/>
    <n v="7.16919597060605"/>
    <n v="6.3317641693655516E-2"/>
    <n v="33.281144124528836"/>
  </r>
  <r>
    <x v="1"/>
    <n v="921"/>
    <x v="1"/>
    <s v="Saturday"/>
    <n v="1280919.7944361379"/>
    <n v="134087.68144230996"/>
    <n v="135870"/>
    <n v="5090.0399999999972"/>
    <n v="1146832.112993828"/>
    <n v="8.4406573415310806"/>
    <n v="0.10468077862856003"/>
    <n v="26.69330692882572"/>
  </r>
  <r>
    <x v="1"/>
    <n v="923"/>
    <x v="1"/>
    <s v="Saturday"/>
    <n v="1265921.5767558145"/>
    <n v="57098.453361978689"/>
    <n v="151198"/>
    <n v="4874.909999999998"/>
    <n v="1208823.1233938357"/>
    <n v="7.9949676807486592"/>
    <n v="4.5104257965414625E-2"/>
    <n v="31.015546953687362"/>
  </r>
  <r>
    <x v="1"/>
    <n v="921"/>
    <x v="1"/>
    <s v="Sunday"/>
    <n v="1254016.2812157876"/>
    <n v="102193.40511436194"/>
    <n v="115661"/>
    <n v="5188.8900000000049"/>
    <n v="1151822.8761014256"/>
    <n v="9.9586107339675909"/>
    <n v="8.1492885415557687E-2"/>
    <n v="22.290123706611606"/>
  </r>
  <r>
    <x v="1"/>
    <n v="923"/>
    <x v="1"/>
    <s v="Sunday"/>
    <n v="1407222.2974985796"/>
    <n v="48141.165795322602"/>
    <n v="142354"/>
    <n v="5345.34"/>
    <n v="1359081.1317032571"/>
    <n v="9.547193136148314"/>
    <n v="3.4210064664905011E-2"/>
    <n v="26.631421013443486"/>
  </r>
  <r>
    <x v="1"/>
    <n v="903"/>
    <x v="2"/>
    <s v="Weekday"/>
    <n v="2249402.0857666992"/>
    <n v="60226.002645272631"/>
    <n v="82846.451166069863"/>
    <n v="8563.6400000000231"/>
    <n v="2189176.0831214264"/>
    <n v="26.424500413821146"/>
    <n v="2.6774227260816668E-2"/>
    <n v="9.6742099348022155"/>
  </r>
  <r>
    <x v="1"/>
    <n v="904"/>
    <x v="2"/>
    <s v="Weekday"/>
    <n v="354475.0607457335"/>
    <n v="6026.4611303214497"/>
    <n v="9572.6878722545516"/>
    <n v="1566.7800000000004"/>
    <n v="348448.59961541207"/>
    <n v="36.400288431565222"/>
    <n v="1.7001086388540761E-2"/>
    <n v="6.1097843170416706"/>
  </r>
  <r>
    <x v="1"/>
    <n v="903"/>
    <x v="2"/>
    <s v="Saturday"/>
    <n v="325625.78857045731"/>
    <n v="9835.3441193210383"/>
    <n v="15198.182209966502"/>
    <n v="1243.8300000000008"/>
    <n v="315790.44445113628"/>
    <n v="20.778172026655305"/>
    <n v="3.0204438544316693E-2"/>
    <n v="12.218858051314482"/>
  </r>
  <r>
    <x v="1"/>
    <n v="904"/>
    <x v="2"/>
    <s v="Saturday"/>
    <n v="25936.361376479064"/>
    <n v="100.19536079157099"/>
    <n v="1211.9881116558415"/>
    <n v="115.26"/>
    <n v="25836.166015687493"/>
    <n v="21.317177757123066"/>
    <n v="3.8631232553088678E-3"/>
    <n v="10.515253441400672"/>
  </r>
  <r>
    <x v="1"/>
    <n v="903"/>
    <x v="2"/>
    <s v="Sunday"/>
    <n v="363320.1634802827"/>
    <n v="7814.9758236822454"/>
    <n v="14661.763282371237"/>
    <n v="1388.170000000001"/>
    <n v="355505.18765660044"/>
    <n v="24.247096396928381"/>
    <n v="2.1509887446988233E-2"/>
    <n v="10.561936421599103"/>
  </r>
  <r>
    <x v="1"/>
    <n v="904"/>
    <x v="2"/>
    <s v="Sunday"/>
    <n v="40846.209852793079"/>
    <n v="161.47186243269704"/>
    <n v="987.86059933385854"/>
    <n v="180.75"/>
    <n v="40684.73799036038"/>
    <n v="41.184695510475073"/>
    <n v="3.9531663528790178E-3"/>
    <n v="5.465342181653436"/>
  </r>
  <r>
    <x v="0"/>
    <n v="664"/>
    <x v="3"/>
    <s v="Weekday"/>
    <n v="129667.88745234985"/>
    <n v="4807.2340000000013"/>
    <n v="2042"/>
    <n v="423"/>
    <n v="124860.65345234986"/>
    <n v="61.146255363540575"/>
    <n v="3.7073435022734955E-2"/>
    <n v="4.8274231678486998"/>
  </r>
  <r>
    <x v="0"/>
    <n v="670"/>
    <x v="3"/>
    <s v="Weekday"/>
    <n v="173723.89499640124"/>
    <n v="5010.2140000000009"/>
    <n v="2251"/>
    <n v="564"/>
    <n v="168713.68099640124"/>
    <n v="74.950546866459902"/>
    <n v="2.8840097098351319E-2"/>
    <n v="3.9911347517730498"/>
  </r>
  <r>
    <x v="2"/>
    <n v="781"/>
    <x v="3"/>
    <s v="Weekday"/>
    <n v="1587718.7782076411"/>
    <n v="171270.45890944201"/>
    <n v="62239"/>
    <n v="5865.6"/>
    <n v="1416448.3192981991"/>
    <n v="22.758211399575814"/>
    <n v="0.10787203707623047"/>
    <n v="10.610849699945444"/>
  </r>
  <r>
    <x v="2"/>
    <n v="785"/>
    <x v="3"/>
    <s v="Weekday"/>
    <n v="125254.24895964775"/>
    <n v="13511.430987730555"/>
    <n v="4910"/>
    <n v="643.4"/>
    <n v="111742.8179719172"/>
    <n v="22.758211399575806"/>
    <n v="0.10787203707623072"/>
    <n v="7.6313335405657448"/>
  </r>
  <r>
    <x v="2"/>
    <n v="789"/>
    <x v="3"/>
    <s v="Weekday"/>
    <n v="187371.17283271137"/>
    <n v="20212.110102827071"/>
    <n v="7345"/>
    <n v="342.09999999999997"/>
    <n v="167159.06272988429"/>
    <n v="22.758211399575806"/>
    <n v="0.10787203707623071"/>
    <n v="21.470330312774045"/>
  </r>
  <r>
    <x v="3"/>
    <n v="690"/>
    <x v="3"/>
    <s v="Weekday"/>
    <n v="1888147"/>
    <n v="55374"/>
    <n v="18728"/>
    <n v="3107.16"/>
    <n v="1832773"/>
    <n v="97.862718923536946"/>
    <n v="2.9327165734447581E-2"/>
    <n v="6.0273690444006744"/>
  </r>
  <r>
    <x v="3"/>
    <n v="695"/>
    <x v="3"/>
    <s v="Weekday"/>
    <n v="589259"/>
    <n v="29615"/>
    <n v="10199"/>
    <n v="739.52"/>
    <n v="559644"/>
    <n v="54.87243847436023"/>
    <n v="5.0258035940053528E-2"/>
    <n v="13.791378191259195"/>
  </r>
  <r>
    <x v="3"/>
    <n v="698"/>
    <x v="3"/>
    <s v="Weekday"/>
    <n v="3831365"/>
    <n v="129699"/>
    <n v="48627"/>
    <n v="6345.35"/>
    <n v="3701666"/>
    <n v="76.12367614699653"/>
    <n v="3.3851903955900833E-2"/>
    <n v="7.6634070618641994"/>
  </r>
  <r>
    <x v="3"/>
    <n v="699"/>
    <x v="3"/>
    <s v="Weekday"/>
    <n v="254402"/>
    <n v="8544"/>
    <n v="2896"/>
    <n v="427.72"/>
    <n v="245858"/>
    <n v="84.895718232044203"/>
    <n v="3.3584641630175861E-2"/>
    <n v="6.7707846254559056"/>
  </r>
  <r>
    <x v="3"/>
    <n v="600"/>
    <x v="3"/>
    <s v="Weekday"/>
    <n v="368307"/>
    <n v="12018"/>
    <n v="5079"/>
    <n v="1123.27"/>
    <n v="356289"/>
    <n v="70.149438865918484"/>
    <n v="3.2630387149850532E-2"/>
    <n v="4.5216199132888795"/>
  </r>
  <r>
    <x v="4"/>
    <n v="460"/>
    <x v="3"/>
    <s v="Weekday"/>
    <n v="1104987.402830624"/>
    <n v="108793.12223856467"/>
    <n v="42831"/>
    <n v="3882.1850000000004"/>
    <n v="996194.28059205937"/>
    <n v="23.258721033645241"/>
    <n v="9.8456436661514435E-2"/>
    <n v="11.032704520778891"/>
  </r>
  <r>
    <x v="4"/>
    <n v="465"/>
    <x v="3"/>
    <s v="Weekday"/>
    <n v="1134832.9869398882"/>
    <n v="118732.04747729002"/>
    <n v="49703"/>
    <n v="5952.4390000000003"/>
    <n v="1016100.9394625982"/>
    <n v="20.443452899474845"/>
    <n v="0.10462512884601162"/>
    <n v="8.3500225705798918"/>
  </r>
  <r>
    <x v="4"/>
    <n v="470"/>
    <x v="3"/>
    <s v="Weekday"/>
    <n v="447054.89885470527"/>
    <n v="20580.57203049388"/>
    <n v="7896"/>
    <n v="1804.6890000000003"/>
    <n v="426474.3268242114"/>
    <n v="54.011439567402661"/>
    <n v="4.6035894211692005E-2"/>
    <n v="4.3752690906854301"/>
  </r>
  <r>
    <x v="4"/>
    <n v="472"/>
    <x v="3"/>
    <s v="Weekday"/>
    <n v="163340.39452893048"/>
    <n v="8310.77242133236"/>
    <n v="2715"/>
    <n v="602.46600000000012"/>
    <n v="155029.62210759812"/>
    <n v="57.101149947549949"/>
    <n v="5.0880080492644912E-2"/>
    <n v="4.5064783738833389"/>
  </r>
  <r>
    <x v="4"/>
    <n v="475"/>
    <x v="3"/>
    <s v="Weekday"/>
    <n v="781966.80129379337"/>
    <n v="52648.343193993482"/>
    <n v="20902"/>
    <n v="3492.2180000000008"/>
    <n v="729318.45809979993"/>
    <n v="34.892281030513821"/>
    <n v="6.7328105370822428E-2"/>
    <n v="5.9853079046038919"/>
  </r>
  <r>
    <x v="4"/>
    <n v="476"/>
    <x v="3"/>
    <s v="Weekday"/>
    <n v="210553.47082774024"/>
    <n v="5812.9062840476599"/>
    <n v="1906"/>
    <n v="842.00699999999995"/>
    <n v="204740.56454369257"/>
    <n v="107.41897405230461"/>
    <n v="2.7607743824861301E-2"/>
    <n v="2.2636391383919614"/>
  </r>
  <r>
    <x v="4"/>
    <n v="477"/>
    <x v="3"/>
    <s v="Weekday"/>
    <n v="1112087.6978755447"/>
    <n v="87383.159281312634"/>
    <n v="34722"/>
    <n v="4492.0609999999997"/>
    <n v="1024704.5385942321"/>
    <n v="29.511679586263234"/>
    <n v="7.8575780892319341E-2"/>
    <n v="7.7296367970069868"/>
  </r>
  <r>
    <x v="4"/>
    <n v="478"/>
    <x v="3"/>
    <s v="Weekday"/>
    <n v="67845.112689163056"/>
    <n v="1923.6698173167395"/>
    <n v="597"/>
    <n v="303.90800000000002"/>
    <n v="65921.442871846317"/>
    <n v="110.42117733977608"/>
    <n v="2.8353845119694354E-2"/>
    <n v="1.9644102820590441"/>
  </r>
  <r>
    <x v="4"/>
    <n v="480"/>
    <x v="3"/>
    <s v="Weekday"/>
    <n v="421491.12789314566"/>
    <n v="24030.413645158442"/>
    <n v="9015"/>
    <n v="1762.9939999999999"/>
    <n v="397460.7142479872"/>
    <n v="44.088820216082887"/>
    <n v="5.7012857578464887E-2"/>
    <n v="5.1134603974829185"/>
  </r>
  <r>
    <x v="4"/>
    <n v="484"/>
    <x v="3"/>
    <s v="Weekday"/>
    <n v="190920.04072390965"/>
    <n v="3070.877373234453"/>
    <n v="1287"/>
    <n v="643.12800000000004"/>
    <n v="187849.1633506752"/>
    <n v="145.95894588242052"/>
    <n v="1.6084625592947901E-2"/>
    <n v="2.0011568459155873"/>
  </r>
  <r>
    <x v="4"/>
    <n v="490"/>
    <x v="3"/>
    <s v="Weekday"/>
    <n v="431953.25252976618"/>
    <n v="17173.300329093414"/>
    <n v="6823"/>
    <n v="1830.3250000000003"/>
    <n v="414779.95220067276"/>
    <n v="60.791433709610544"/>
    <n v="3.9757312228850483E-2"/>
    <n v="3.7277532678622642"/>
  </r>
  <r>
    <x v="4"/>
    <n v="493"/>
    <x v="3"/>
    <s v="Weekday"/>
    <n v="320926.93157392315"/>
    <n v="11680.914527994653"/>
    <n v="4573"/>
    <n v="1184.7809999999999"/>
    <n v="309246.01704592851"/>
    <n v="67.624320368670126"/>
    <n v="3.6397426886886373E-2"/>
    <n v="3.8597850573228305"/>
  </r>
  <r>
    <x v="4"/>
    <n v="495"/>
    <x v="3"/>
    <s v="Weekday"/>
    <n v="1253768.7172591386"/>
    <n v="80565.475235671634"/>
    <n v="54795"/>
    <n v="7305.2940000000017"/>
    <n v="1173203.2420234669"/>
    <n v="21.410771822674821"/>
    <n v="6.4258642065815511E-2"/>
    <n v="7.5007248168246186"/>
  </r>
  <r>
    <x v="4"/>
    <n v="498"/>
    <x v="3"/>
    <s v="Weekday"/>
    <n v="218923.32187297498"/>
    <n v="243.05455032867675"/>
    <n v="67"/>
    <n v="908.76999999999987"/>
    <n v="218680.26732264631"/>
    <n v="3263.8845869051688"/>
    <n v="1.1102268513434276E-3"/>
    <n v="7.3726025286926289E-2"/>
  </r>
  <r>
    <x v="4"/>
    <n v="495"/>
    <x v="3"/>
    <s v="Saturday"/>
    <n v="277853.14507306245"/>
    <n v="13941.371102855808"/>
    <n v="10486"/>
    <n v="1515.5350000000003"/>
    <n v="263911.77397020662"/>
    <n v="25.168012013180107"/>
    <n v="5.017532228828965E-2"/>
    <n v="6.919008798873004"/>
  </r>
  <r>
    <x v="4"/>
    <n v="495"/>
    <x v="3"/>
    <s v="Sunday"/>
    <n v="303977.26685576979"/>
    <n v="12924.441426274687"/>
    <n v="11492"/>
    <n v="1658.5100000000004"/>
    <n v="291052.82542949507"/>
    <n v="25.326559818090416"/>
    <n v="4.2517789438534022E-2"/>
    <n v="6.9291110695744953"/>
  </r>
  <r>
    <x v="1"/>
    <n v="94"/>
    <x v="3"/>
    <s v="Weekday"/>
    <n v="2730500.3970560953"/>
    <n v="224370.81678633014"/>
    <n v="138245.24869043336"/>
    <n v="10905.080000000042"/>
    <n v="2506129.5802697651"/>
    <n v="18.128142587248213"/>
    <n v="8.2172050598577767E-2"/>
    <n v="12.677142092532364"/>
  </r>
  <r>
    <x v="1"/>
    <n v="113"/>
    <x v="3"/>
    <s v="Weekday"/>
    <n v="239506.72633074419"/>
    <n v="18351.881649884101"/>
    <n v="12097.574586896038"/>
    <n v="796.54999999999961"/>
    <n v="221154.84468086009"/>
    <n v="18.280924254057719"/>
    <n v="7.6623658679803711E-2"/>
    <n v="15.187464172865537"/>
  </r>
  <r>
    <x v="1"/>
    <n v="114"/>
    <x v="3"/>
    <s v="Weekday"/>
    <n v="279218.86473209638"/>
    <n v="23124.758046361389"/>
    <n v="16015.026081888802"/>
    <n v="783.68000000000075"/>
    <n v="256094.10668573499"/>
    <n v="15.990864165706773"/>
    <n v="8.2819468765296445E-2"/>
    <n v="20.435670275991203"/>
  </r>
  <r>
    <x v="1"/>
    <n v="134"/>
    <x v="3"/>
    <s v="Weekday"/>
    <n v="199149.82003347919"/>
    <n v="40589.223462748712"/>
    <n v="10012.445171312851"/>
    <n v="604.34999999999991"/>
    <n v="158560.59657073047"/>
    <n v="15.836351046898137"/>
    <n v="0.20381250385225172"/>
    <n v="16.567295724849593"/>
  </r>
  <r>
    <x v="1"/>
    <n v="250"/>
    <x v="3"/>
    <s v="Weekday"/>
    <n v="989718.72022719646"/>
    <n v="253400.32758178041"/>
    <n v="42654.333577258527"/>
    <n v="3206.1399999999912"/>
    <n v="736318.39264541608"/>
    <n v="17.262452156514048"/>
    <n v="0.25603267110438277"/>
    <n v="13.303952284447542"/>
  </r>
  <r>
    <x v="1"/>
    <n v="252"/>
    <x v="3"/>
    <s v="Weekday"/>
    <n v="79054.435319259894"/>
    <n v="11586.028440570837"/>
    <n v="7004.2503139865194"/>
    <n v="205.94999999999962"/>
    <n v="67468.406878689057"/>
    <n v="9.6324951071442975"/>
    <n v="0.14655760165487075"/>
    <n v="34.009469842129313"/>
  </r>
  <r>
    <x v="1"/>
    <n v="264"/>
    <x v="3"/>
    <s v="Weekday"/>
    <n v="354748.35069146287"/>
    <n v="55118.163542542912"/>
    <n v="9949.7744451185517"/>
    <n v="1233.9200000000019"/>
    <n v="299630.18714891997"/>
    <n v="30.114269303453529"/>
    <n v="0.15537257166977253"/>
    <n v="8.0635490510880263"/>
  </r>
  <r>
    <x v="1"/>
    <n v="270"/>
    <x v="3"/>
    <s v="Weekday"/>
    <n v="834306.74677767162"/>
    <n v="148096.79200123856"/>
    <n v="24200.460252283116"/>
    <n v="2604.6400000000099"/>
    <n v="686209.95477643306"/>
    <n v="28.3552439756469"/>
    <n v="0.17750880305502767"/>
    <n v="9.2912879523784575"/>
  </r>
  <r>
    <x v="1"/>
    <n v="275"/>
    <x v="3"/>
    <s v="Weekday"/>
    <n v="121507.65551161423"/>
    <n v="26710.095841033653"/>
    <n v="4599.3939732425888"/>
    <n v="362.69999999999931"/>
    <n v="94797.55967058058"/>
    <n v="20.610880525146221"/>
    <n v="0.21982232912460883"/>
    <n v="12.680986967859381"/>
  </r>
  <r>
    <x v="1"/>
    <n v="294"/>
    <x v="3"/>
    <s v="Weekday"/>
    <n v="168593.71304744709"/>
    <n v="24926.254072177177"/>
    <n v="4704.5533273652254"/>
    <n v="619.5199999999993"/>
    <n v="143667.45897526992"/>
    <n v="30.537959499702506"/>
    <n v="0.14784806397354933"/>
    <n v="7.5938683615786911"/>
  </r>
  <r>
    <x v="1"/>
    <n v="351"/>
    <x v="3"/>
    <s v="Weekday"/>
    <n v="75761.864236574911"/>
    <n v="10862.452323489097"/>
    <n v="2724.5832659046746"/>
    <n v="253.44000000000031"/>
    <n v="64899.411913085816"/>
    <n v="23.819940731940346"/>
    <n v="0.14337625443811508"/>
    <n v="10.750407457010224"/>
  </r>
  <r>
    <x v="1"/>
    <n v="353"/>
    <x v="3"/>
    <s v="Weekday"/>
    <n v="442132.40172188886"/>
    <n v="106550.82705205535"/>
    <n v="17053.873034736665"/>
    <n v="1371.3300000000077"/>
    <n v="335581.57466983353"/>
    <n v="19.677733848862054"/>
    <n v="0.24099302977364276"/>
    <n v="12.43600959268489"/>
  </r>
  <r>
    <x v="1"/>
    <n v="355"/>
    <x v="3"/>
    <s v="Weekday"/>
    <n v="160660.1222875785"/>
    <n v="33401.970095527751"/>
    <n v="9389.9867721626997"/>
    <n v="552.96000000000015"/>
    <n v="127258.15219205075"/>
    <n v="13.552537961961439"/>
    <n v="0.20790454793591451"/>
    <n v="16.981312883685433"/>
  </r>
  <r>
    <x v="1"/>
    <n v="363"/>
    <x v="3"/>
    <s v="Weekday"/>
    <n v="559954.73413300421"/>
    <n v="10492.971579809766"/>
    <n v="9930.6545625508006"/>
    <n v="1732.299999999994"/>
    <n v="549461.76255319442"/>
    <n v="55.329863614957823"/>
    <n v="1.8738963955821124E-2"/>
    <n v="5.732641322259906"/>
  </r>
  <r>
    <x v="1"/>
    <n v="535"/>
    <x v="3"/>
    <s v="Weekday"/>
    <n v="3644403.2496442581"/>
    <n v="155730.99948367322"/>
    <n v="86022.47610371311"/>
    <n v="14935.419999999993"/>
    <n v="3488672.2501605847"/>
    <n v="40.555357252847067"/>
    <n v="4.273154994548823E-2"/>
    <n v="5.7596288623763607"/>
  </r>
  <r>
    <x v="1"/>
    <n v="553"/>
    <x v="3"/>
    <s v="Weekday"/>
    <n v="104324.75473219439"/>
    <n v="18384.4410018372"/>
    <n v="3133.5363097149279"/>
    <n v="374.4599999999997"/>
    <n v="85940.313730357186"/>
    <n v="27.42598305432611"/>
    <n v="0.17622318929990066"/>
    <n v="8.3681469575253171"/>
  </r>
  <r>
    <x v="1"/>
    <n v="578"/>
    <x v="3"/>
    <s v="Weekday"/>
    <n v="175191.94694674574"/>
    <n v="38184.567926184318"/>
    <n v="5899.5459878497313"/>
    <n v="543.29000000000099"/>
    <n v="137007.37902056141"/>
    <n v="23.223376731486063"/>
    <n v="0.21795846550978473"/>
    <n v="10.858926149661729"/>
  </r>
  <r>
    <x v="1"/>
    <n v="579"/>
    <x v="3"/>
    <s v="Weekday"/>
    <n v="67471.523727189939"/>
    <n v="3847.5515380463053"/>
    <n v="2659.7881083139591"/>
    <n v="173.14000000000007"/>
    <n v="63623.972189143635"/>
    <n v="23.920692024401486"/>
    <n v="5.702482062808082E-2"/>
    <n v="15.362066006202831"/>
  </r>
  <r>
    <x v="1"/>
    <n v="597"/>
    <x v="3"/>
    <s v="Weekday"/>
    <n v="169565.77429154181"/>
    <n v="32470.782566399204"/>
    <n v="5511.8372580036475"/>
    <n v="522.21000000000038"/>
    <n v="137094.99172514261"/>
    <n v="24.872830112331282"/>
    <n v="0.19149372980523049"/>
    <n v="10.554829011324264"/>
  </r>
  <r>
    <x v="1"/>
    <n v="645"/>
    <x v="3"/>
    <s v="Weekday"/>
    <n v="2753144.1873498987"/>
    <n v="142092.72163584112"/>
    <n v="106492.43482388816"/>
    <n v="12588.419999999942"/>
    <n v="2611051.4657140574"/>
    <n v="24.518656841982089"/>
    <n v="5.1611071548205288E-2"/>
    <n v="8.4595552757128107"/>
  </r>
  <r>
    <x v="1"/>
    <n v="652"/>
    <x v="3"/>
    <s v="Weekday"/>
    <n v="80965.82847262772"/>
    <n v="8800.531165698525"/>
    <n v="4663.1269151350953"/>
    <n v="290.60000000000031"/>
    <n v="72165.297306929191"/>
    <n v="15.475730903377844"/>
    <n v="0.10869438788826497"/>
    <n v="16.046548228269408"/>
  </r>
  <r>
    <x v="1"/>
    <n v="663"/>
    <x v="3"/>
    <s v="Weekday"/>
    <n v="128631.19523473912"/>
    <n v="20397.026295198331"/>
    <n v="3420.3345482312093"/>
    <n v="373.91999999999871"/>
    <n v="108234.16893954079"/>
    <n v="31.644322335519188"/>
    <n v="0.15856982637824199"/>
    <n v="9.1472361687826833"/>
  </r>
  <r>
    <x v="1"/>
    <n v="667"/>
    <x v="3"/>
    <s v="Weekday"/>
    <n v="295249.69292592537"/>
    <n v="35445.127394842813"/>
    <n v="7117.9073936948234"/>
    <n v="958.19999999999993"/>
    <n v="259804.56553108257"/>
    <n v="36.500132856634572"/>
    <n v="0.12005136074344902"/>
    <n v="7.4284151468324193"/>
  </r>
  <r>
    <x v="1"/>
    <n v="673"/>
    <x v="3"/>
    <s v="Weekday"/>
    <n v="106967.64851874269"/>
    <n v="16523.308034829603"/>
    <n v="3834.5986705325049"/>
    <n v="404.79999999999944"/>
    <n v="90444.340483913082"/>
    <n v="23.586390194870958"/>
    <n v="0.15447014367091016"/>
    <n v="9.4728228026988894"/>
  </r>
  <r>
    <x v="1"/>
    <n v="755"/>
    <x v="3"/>
    <s v="Weekday"/>
    <n v="1235691.1266512249"/>
    <n v="63896.337065750755"/>
    <n v="34250.082973033263"/>
    <n v="5089.689999999975"/>
    <n v="1171794.7895854742"/>
    <n v="34.212903674075321"/>
    <n v="5.1708987535511827E-2"/>
    <n v="6.7293062982290532"/>
  </r>
  <r>
    <x v="1"/>
    <n v="756"/>
    <x v="3"/>
    <s v="Weekday"/>
    <n v="114240.10671529015"/>
    <n v="15267.073506319875"/>
    <n v="2493.0202436952322"/>
    <n v="401.44999999999976"/>
    <n v="98973.033208970272"/>
    <n v="39.700051958771645"/>
    <n v="0.13364022448235771"/>
    <n v="6.2100392170761829"/>
  </r>
  <r>
    <x v="1"/>
    <n v="760"/>
    <x v="3"/>
    <s v="Weekday"/>
    <n v="358253.66245046462"/>
    <n v="58464.887327581302"/>
    <n v="15159.942444831"/>
    <n v="1315.6800000000023"/>
    <n v="299788.77512288332"/>
    <n v="19.775060242732032"/>
    <n v="0.16319410924561081"/>
    <n v="11.522514931313825"/>
  </r>
  <r>
    <x v="1"/>
    <n v="761"/>
    <x v="3"/>
    <s v="Weekday"/>
    <n v="164957.48394917403"/>
    <n v="28998.375708129883"/>
    <n v="5879.3638895837712"/>
    <n v="611.67999999999893"/>
    <n v="135959.10824104416"/>
    <n v="23.124799007919439"/>
    <n v="0.17579302868771166"/>
    <n v="9.6118295343705551"/>
  </r>
  <r>
    <x v="1"/>
    <n v="763"/>
    <x v="3"/>
    <s v="Weekday"/>
    <n v="101204.01265730261"/>
    <n v="25664.619355736082"/>
    <n v="5009.4092327510507"/>
    <n v="419.77999999999963"/>
    <n v="75539.393301566524"/>
    <n v="15.079501352713811"/>
    <n v="0.25359290290832348"/>
    <n v="11.933415676666479"/>
  </r>
  <r>
    <x v="1"/>
    <n v="764"/>
    <x v="3"/>
    <s v="Weekday"/>
    <n v="105468.6449840807"/>
    <n v="28710.14429338335"/>
    <n v="4669.5002093243465"/>
    <n v="398.81999999999948"/>
    <n v="76758.500690697358"/>
    <n v="16.438269033037248"/>
    <n v="0.27221497249459137"/>
    <n v="11.708289978748189"/>
  </r>
  <r>
    <x v="1"/>
    <n v="765"/>
    <x v="3"/>
    <s v="Weekday"/>
    <n v="54644.897412037921"/>
    <n v="1183.2326854734845"/>
    <n v="749.92428293516571"/>
    <n v="152.57000000000019"/>
    <n v="53461.664726564435"/>
    <n v="71.289416735937905"/>
    <n v="2.165312300893488E-2"/>
    <n v="4.915280087403584"/>
  </r>
  <r>
    <x v="1"/>
    <n v="766"/>
    <x v="3"/>
    <s v="Weekday"/>
    <n v="677626.51160395541"/>
    <n v="55907.620179497193"/>
    <n v="15865.253668441412"/>
    <n v="2166.5200000000063"/>
    <n v="621718.89142445824"/>
    <n v="39.187453564714126"/>
    <n v="8.2505066171573993E-2"/>
    <n v="7.3229204754358905"/>
  </r>
  <r>
    <x v="1"/>
    <n v="768"/>
    <x v="3"/>
    <s v="Weekday"/>
    <n v="703616.8763828855"/>
    <n v="147007.54422030924"/>
    <n v="27912.904117521652"/>
    <n v="1884.4899999999875"/>
    <n v="556609.33216257626"/>
    <n v="19.94093233076304"/>
    <n v="0.20893123680608322"/>
    <n v="14.811914161137409"/>
  </r>
  <r>
    <x v="1"/>
    <n v="850"/>
    <x v="3"/>
    <s v="Weekday"/>
    <n v="1076837.6636455916"/>
    <n v="260925.21447304395"/>
    <n v="45113.362918611085"/>
    <n v="3262.130000000001"/>
    <n v="815912.44917254767"/>
    <n v="18.085826380191019"/>
    <n v="0.24230691707948984"/>
    <n v="13.829419096912469"/>
  </r>
  <r>
    <x v="1"/>
    <n v="852"/>
    <x v="3"/>
    <s v="Weekday"/>
    <n v="2416809.3604270127"/>
    <n v="141609.56470100913"/>
    <n v="73062.382369871819"/>
    <n v="10833.750000000031"/>
    <n v="2275199.7957260036"/>
    <n v="31.140509273404291"/>
    <n v="5.8593601555725905E-2"/>
    <n v="6.7439605279678423"/>
  </r>
  <r>
    <x v="1"/>
    <n v="645"/>
    <x v="3"/>
    <s v="Saturday"/>
    <n v="254557.31094677566"/>
    <n v="7686.3753149129143"/>
    <n v="9389.9867721626997"/>
    <n v="1292.8499999999997"/>
    <n v="246870.93563186275"/>
    <n v="26.290871501941798"/>
    <n v="3.0195068003841488E-2"/>
    <n v="7.263013321083422"/>
  </r>
  <r>
    <x v="1"/>
    <n v="852"/>
    <x v="3"/>
    <s v="Saturday"/>
    <n v="217291.69032306559"/>
    <n v="6936.3840572588515"/>
    <n v="7026.5568436488966"/>
    <n v="987.4"/>
    <n v="210355.30626580675"/>
    <n v="29.937181317467157"/>
    <n v="3.1921994103621516E-2"/>
    <n v="7.116221231161532"/>
  </r>
  <r>
    <x v="1"/>
    <n v="645"/>
    <x v="3"/>
    <s v="Sunday"/>
    <n v="209441.55936698205"/>
    <n v="5512.4340876357019"/>
    <n v="6190.5930891588478"/>
    <n v="1049.9399999999994"/>
    <n v="203929.12527934636"/>
    <n v="32.941775100106831"/>
    <n v="2.6319676497331902E-2"/>
    <n v="5.8961398643340113"/>
  </r>
  <r>
    <x v="5"/>
    <n v="747"/>
    <x v="4"/>
    <s v="Weekday"/>
    <n v="992189.58507672918"/>
    <n v="20712.555786902183"/>
    <n v="19015"/>
    <n v="4309.2600000000011"/>
    <n v="971477.02928982698"/>
    <n v="51.090035723893081"/>
    <n v="2.0875602907382277E-2"/>
    <n v="4.4125905607923395"/>
  </r>
  <r>
    <x v="5"/>
    <n v="774"/>
    <x v="4"/>
    <s v="Weekday"/>
    <n v="933220.20644890936"/>
    <n v="28146.102964212761"/>
    <n v="19409"/>
    <n v="4325.2499999999991"/>
    <n v="905074.10348469659"/>
    <n v="46.631671053876893"/>
    <n v="3.0160194528271463E-2"/>
    <n v="4.48737067221548"/>
  </r>
  <r>
    <x v="5"/>
    <n v="776"/>
    <x v="4"/>
    <s v="Weekday"/>
    <n v="481158.34166814724"/>
    <n v="6726.1476249952893"/>
    <n v="4743"/>
    <n v="2089.7999999999997"/>
    <n v="474432.19404315198"/>
    <n v="100.02787139851401"/>
    <n v="1.397907308782414E-2"/>
    <n v="2.2695951765719209"/>
  </r>
  <r>
    <x v="5"/>
    <n v="790"/>
    <x v="4"/>
    <s v="Weekday"/>
    <n v="461533.06168636645"/>
    <n v="10633.472540167826"/>
    <n v="7404"/>
    <n v="2228.6"/>
    <n v="450899.58914619865"/>
    <n v="60.899458285548171"/>
    <n v="2.3039460057996394E-2"/>
    <n v="3.3222650991653953"/>
  </r>
  <r>
    <x v="5"/>
    <n v="795"/>
    <x v="4"/>
    <s v="Weekday"/>
    <n v="102740.74393018748"/>
    <n v="3008.2663878751405"/>
    <n v="2114"/>
    <n v="428.03999999999996"/>
    <n v="99732.47754231235"/>
    <n v="47.177141694565918"/>
    <n v="2.9280169412820904E-2"/>
    <n v="4.9387907672180171"/>
  </r>
  <r>
    <x v="1"/>
    <n v="888"/>
    <x v="5"/>
    <s v="Weekday"/>
    <n v="8939965.3900000006"/>
    <n v="147588.18"/>
    <n v="50432.6"/>
    <n v="888.32000000000494"/>
    <n v="8792377.2100000009"/>
    <n v="174.33916177234568"/>
    <n v="1.6508808878062109E-2"/>
    <n v="56.773009726224466"/>
  </r>
  <r>
    <x v="0"/>
    <n v="67"/>
    <x v="6"/>
    <s v="Weekday"/>
    <n v="1063660"/>
    <n v="72983.228999999628"/>
    <n v="72073"/>
    <n v="11819"/>
    <n v="990676.77100000042"/>
    <n v="13.745463224785986"/>
    <n v="6.8615186243724147E-2"/>
    <n v="6.0980624418309501"/>
  </r>
  <r>
    <x v="0"/>
    <n v="67"/>
    <x v="6"/>
    <s v="Saturday"/>
    <n v="190734"/>
    <n v="7944.0480000000089"/>
    <n v="9094"/>
    <n v="1984"/>
    <n v="182789.95199999999"/>
    <n v="20.100060699362217"/>
    <n v="4.1649878888923887E-2"/>
    <n v="4.58366935483871"/>
  </r>
  <r>
    <x v="1"/>
    <n v="2"/>
    <x v="6"/>
    <s v="Weekday"/>
    <n v="7303783.4429012313"/>
    <n v="644248.73390352132"/>
    <n v="682014.70891730313"/>
    <n v="32211.850000000202"/>
    <n v="6659534.7089977097"/>
    <n v="9.7645030553222334"/>
    <n v="8.8207535031680898E-2"/>
    <n v="21.172789172844741"/>
  </r>
  <r>
    <x v="1"/>
    <n v="3"/>
    <x v="6"/>
    <s v="Weekday"/>
    <n v="9815123.3046161197"/>
    <n v="635225.70279199886"/>
    <n v="606128.95722159324"/>
    <n v="45256.510000000068"/>
    <n v="9179897.6018241215"/>
    <n v="15.145122984889937"/>
    <n v="6.4719075153467295E-2"/>
    <n v="13.39318823350701"/>
  </r>
  <r>
    <x v="1"/>
    <n v="4"/>
    <x v="6"/>
    <s v="Weekday"/>
    <n v="8835480.3101126589"/>
    <n v="720879.63634641387"/>
    <n v="524836.52762200229"/>
    <n v="40754.440000000126"/>
    <n v="8114600.6737662451"/>
    <n v="15.46119648061261"/>
    <n v="8.1589184859744437E-2"/>
    <n v="12.878020839496278"/>
  </r>
  <r>
    <x v="1"/>
    <n v="5"/>
    <x v="6"/>
    <s v="Weekday"/>
    <n v="14388617.454670873"/>
    <n v="1452855.4534670364"/>
    <n v="1415371.6136075116"/>
    <n v="67680.1899999999"/>
    <n v="12935762.001203837"/>
    <n v="9.1394810216894573"/>
    <n v="0.10097255403752543"/>
    <n v="20.912642438023795"/>
  </r>
  <r>
    <x v="1"/>
    <n v="6"/>
    <x v="6"/>
    <s v="Weekday"/>
    <n v="12734768.164051913"/>
    <n v="1003668.5715844785"/>
    <n v="773043.40760667273"/>
    <n v="57105.899999999878"/>
    <n v="11731099.592467435"/>
    <n v="15.175214583081033"/>
    <n v="7.8813258212086207E-2"/>
    <n v="13.537014697372328"/>
  </r>
  <r>
    <x v="1"/>
    <n v="7"/>
    <x v="6"/>
    <s v="Weekday"/>
    <n v="3682927.313191731"/>
    <n v="172504.49781858185"/>
    <n v="143500.02974947056"/>
    <n v="18293.279999999966"/>
    <n v="3510422.8153731492"/>
    <n v="24.462871690701519"/>
    <n v="4.6838963451897309E-2"/>
    <n v="7.8444122513551875"/>
  </r>
  <r>
    <x v="1"/>
    <n v="9"/>
    <x v="6"/>
    <s v="Weekday"/>
    <n v="5142305.4421894345"/>
    <n v="349029.51252200466"/>
    <n v="270132.07421139092"/>
    <n v="21786.879999999954"/>
    <n v="4793275.92966743"/>
    <n v="17.744193997179575"/>
    <n v="6.7874130863257068E-2"/>
    <n v="12.398841606113013"/>
  </r>
  <r>
    <x v="1"/>
    <n v="10"/>
    <x v="6"/>
    <s v="Weekday"/>
    <n v="10416443.008558841"/>
    <n v="801931.57213784743"/>
    <n v="873054.2022400928"/>
    <n v="47167.990000000049"/>
    <n v="9614511.4364209939"/>
    <n v="11.012502330040869"/>
    <n v="7.6987083928643119E-2"/>
    <n v="18.509463774905225"/>
  </r>
  <r>
    <x v="1"/>
    <n v="11"/>
    <x v="6"/>
    <s v="Weekday"/>
    <n v="7115938.3351138784"/>
    <n v="657744.6680941626"/>
    <n v="524101.47435884213"/>
    <n v="32600.159999999985"/>
    <n v="6458193.6670197155"/>
    <n v="12.322410798253003"/>
    <n v="9.2432598080353728E-2"/>
    <n v="16.076653438475223"/>
  </r>
  <r>
    <x v="1"/>
    <n v="12"/>
    <x v="6"/>
    <s v="Weekday"/>
    <n v="988609.19577686233"/>
    <n v="81721.737638020961"/>
    <n v="45789.994318369871"/>
    <n v="4479.6599999999899"/>
    <n v="906887.45813884132"/>
    <n v="19.805362975880943"/>
    <n v="8.266333955532644E-2"/>
    <n v="10.221756632952049"/>
  </r>
  <r>
    <x v="1"/>
    <n v="14"/>
    <x v="6"/>
    <s v="Weekday"/>
    <n v="8406600.0160585381"/>
    <n v="715131.61895179341"/>
    <n v="595171.14007887489"/>
    <n v="38513.560000000034"/>
    <n v="7691468.3971067443"/>
    <n v="12.923120560058464"/>
    <n v="8.5067877332777542E-2"/>
    <n v="15.45354779144993"/>
  </r>
  <r>
    <x v="1"/>
    <n v="17"/>
    <x v="6"/>
    <s v="Weekday"/>
    <n v="7717204.0356540894"/>
    <n v="671045.51115255209"/>
    <n v="604024.70792344236"/>
    <n v="34266.570000000051"/>
    <n v="7046158.524501537"/>
    <n v="11.665348175450148"/>
    <n v="8.6954486113399246E-2"/>
    <n v="17.627229918939697"/>
  </r>
  <r>
    <x v="1"/>
    <n v="18"/>
    <x v="6"/>
    <s v="Weekday"/>
    <n v="12040934.085846087"/>
    <n v="1139757.9349872386"/>
    <n v="1241134.2481989833"/>
    <n v="54851.950000000004"/>
    <n v="10901176.150858849"/>
    <n v="8.7832369195174547"/>
    <n v="9.4656936651368651E-2"/>
    <n v="22.626984969522198"/>
  </r>
  <r>
    <x v="1"/>
    <n v="19"/>
    <x v="6"/>
    <s v="Weekday"/>
    <n v="2405542.2869159314"/>
    <n v="128977.97696905748"/>
    <n v="115937.65681235769"/>
    <n v="9784.4899999999925"/>
    <n v="2276564.3099468737"/>
    <n v="19.636107650781991"/>
    <n v="5.3617006722594764E-2"/>
    <n v="11.84912619997136"/>
  </r>
  <r>
    <x v="1"/>
    <n v="21"/>
    <x v="6"/>
    <s v="Weekday"/>
    <n v="12757690.153691595"/>
    <n v="1187732.9808049586"/>
    <n v="1257199.1984186878"/>
    <n v="58903.280000000072"/>
    <n v="11569957.172886636"/>
    <n v="9.2029625754131832"/>
    <n v="9.3099375082508443E-2"/>
    <n v="21.343449777647123"/>
  </r>
  <r>
    <x v="1"/>
    <n v="22"/>
    <x v="6"/>
    <s v="Weekday"/>
    <n v="9207568.6623907145"/>
    <n v="709177.69595044153"/>
    <n v="582248.22389447084"/>
    <n v="43390.75"/>
    <n v="8498390.9664402734"/>
    <n v="14.595821193918418"/>
    <n v="7.7021168340253882E-2"/>
    <n v="13.418717673570308"/>
  </r>
  <r>
    <x v="1"/>
    <n v="25"/>
    <x v="6"/>
    <s v="Weekday"/>
    <n v="3025745.1805818006"/>
    <n v="140196.18078761495"/>
    <n v="88980.746823223657"/>
    <n v="13515.510000000037"/>
    <n v="2885548.9997941856"/>
    <n v="32.428914150685323"/>
    <n v="4.6334430832889094E-2"/>
    <n v="6.5836026034698962"/>
  </r>
  <r>
    <x v="1"/>
    <n v="54"/>
    <x v="6"/>
    <s v="Weekday"/>
    <n v="7477384.7441758281"/>
    <n v="674680.08544435399"/>
    <n v="638427.7499570176"/>
    <n v="34177.469999999965"/>
    <n v="6802704.6587314736"/>
    <n v="10.655402524701454"/>
    <n v="9.0229419580136708E-2"/>
    <n v="18.679783786132159"/>
  </r>
  <r>
    <x v="1"/>
    <n v="61"/>
    <x v="6"/>
    <s v="Weekday"/>
    <n v="4674552.5171720693"/>
    <n v="378544.58162870246"/>
    <n v="256879.8711605423"/>
    <n v="21855.059999999983"/>
    <n v="4296007.9355433667"/>
    <n v="16.723801347823354"/>
    <n v="8.0979854272277565E-2"/>
    <n v="11.753793911366177"/>
  </r>
  <r>
    <x v="1"/>
    <n v="62"/>
    <x v="6"/>
    <s v="Weekday"/>
    <n v="4665625.5911004869"/>
    <n v="321540.90700822882"/>
    <n v="314443.46427785465"/>
    <n v="20397.510000000075"/>
    <n v="4344084.6840922581"/>
    <n v="13.81515336650042"/>
    <n v="6.8916997459366761E-2"/>
    <n v="15.415776939334924"/>
  </r>
  <r>
    <x v="1"/>
    <n v="63"/>
    <x v="6"/>
    <s v="Weekday"/>
    <n v="6707037.6634993777"/>
    <n v="580850.49199002946"/>
    <n v="502886.90243422292"/>
    <n v="31544.890000000145"/>
    <n v="6126187.1715093479"/>
    <n v="12.18203763481521"/>
    <n v="8.660313556178427E-2"/>
    <n v="15.941945032435385"/>
  </r>
  <r>
    <x v="1"/>
    <n v="64"/>
    <x v="6"/>
    <s v="Weekday"/>
    <n v="6489505.4125653999"/>
    <n v="484537.41160784033"/>
    <n v="496341.52930186247"/>
    <n v="29080.669999999907"/>
    <n v="6004968.0009575598"/>
    <n v="12.098459722691246"/>
    <n v="7.4664767313337571E-2"/>
    <n v="17.067747383463448"/>
  </r>
  <r>
    <x v="1"/>
    <n v="68"/>
    <x v="6"/>
    <s v="Weekday"/>
    <n v="5940249.8979843743"/>
    <n v="382901.27465051989"/>
    <n v="398519.9612224499"/>
    <n v="27761.660000000036"/>
    <n v="5557348.6233338546"/>
    <n v="13.944969296611463"/>
    <n v="6.4458782244235999E-2"/>
    <n v="14.355047977046379"/>
  </r>
  <r>
    <x v="1"/>
    <n v="70"/>
    <x v="6"/>
    <s v="Weekday"/>
    <n v="1249252.5265330321"/>
    <n v="91352.118248106926"/>
    <n v="56326.111828899477"/>
    <n v="5275.3500000000013"/>
    <n v="1157900.4082849252"/>
    <n v="20.557080378675035"/>
    <n v="7.312542204867932E-2"/>
    <n v="10.677227450102736"/>
  </r>
  <r>
    <x v="1"/>
    <n v="71"/>
    <x v="6"/>
    <s v="Weekday"/>
    <n v="3353840.3974642726"/>
    <n v="149915.19702926395"/>
    <n v="146847.07141452539"/>
    <n v="13975.289999999954"/>
    <n v="3203925.2004350089"/>
    <n v="21.818107569819009"/>
    <n v="4.4699562072962641E-2"/>
    <n v="10.507622483292002"/>
  </r>
  <r>
    <x v="1"/>
    <n v="74"/>
    <x v="6"/>
    <s v="Weekday"/>
    <n v="6794704.8232759675"/>
    <n v="554806.30610966834"/>
    <n v="463983.25248733844"/>
    <n v="31858.030000000028"/>
    <n v="6239898.5171662988"/>
    <n v="13.448542557765226"/>
    <n v="8.165274585720364E-2"/>
    <n v="14.564091140831309"/>
  </r>
  <r>
    <x v="1"/>
    <n v="75"/>
    <x v="6"/>
    <s v="Weekday"/>
    <n v="1538499.659453348"/>
    <n v="78437.134976673333"/>
    <n v="77220.956828357899"/>
    <n v="6963.1999999999698"/>
    <n v="1460062.5244766746"/>
    <n v="18.907594316941886"/>
    <n v="5.0982874448307139E-2"/>
    <n v="11.089866272454939"/>
  </r>
  <r>
    <x v="1"/>
    <n v="824"/>
    <x v="6"/>
    <s v="Weekday"/>
    <n v="225488.75222821868"/>
    <n v="27116.176873531065"/>
    <n v="8559.3340961636895"/>
    <n v="784.68000000000268"/>
    <n v="198372.57535468761"/>
    <n v="23.17616921199496"/>
    <n v="0.12025511962604059"/>
    <n v="10.908056910031682"/>
  </r>
  <r>
    <x v="1"/>
    <n v="2"/>
    <x v="6"/>
    <s v="Saturday"/>
    <n v="1074774.0790853226"/>
    <n v="70676.035452191587"/>
    <n v="87931.277713393705"/>
    <n v="4775.6000000000004"/>
    <n v="1004098.043633131"/>
    <n v="11.419122634677542"/>
    <n v="6.5758969096407521E-2"/>
    <n v="18.412613642975479"/>
  </r>
  <r>
    <x v="1"/>
    <n v="3"/>
    <x v="6"/>
    <s v="Saturday"/>
    <n v="1203145.0761082594"/>
    <n v="46623.286191516978"/>
    <n v="60229.754519815542"/>
    <n v="5541.6400000000021"/>
    <n v="1156521.7899167424"/>
    <n v="19.201834693452845"/>
    <n v="3.8751175662312065E-2"/>
    <n v="10.868579431326379"/>
  </r>
  <r>
    <x v="1"/>
    <n v="4"/>
    <x v="6"/>
    <s v="Saturday"/>
    <n v="1510905.5572683425"/>
    <n v="82005.166299936158"/>
    <n v="78893.946553036221"/>
    <n v="6955.0600000000049"/>
    <n v="1428900.3909684063"/>
    <n v="18.111660696398708"/>
    <n v="5.4275507761185456E-2"/>
    <n v="11.343388346475251"/>
  </r>
  <r>
    <x v="1"/>
    <n v="5"/>
    <x v="6"/>
    <s v="Saturday"/>
    <n v="2252434.458637591"/>
    <n v="174679.1511781755"/>
    <n v="211934.33832224816"/>
    <n v="10659.639999999992"/>
    <n v="2077755.3074594154"/>
    <n v="9.8037690536970405"/>
    <n v="7.755126925372649E-2"/>
    <n v="19.881941446638752"/>
  </r>
  <r>
    <x v="1"/>
    <n v="6"/>
    <x v="6"/>
    <s v="Saturday"/>
    <n v="1657582.071254954"/>
    <n v="94403.70459105169"/>
    <n v="101790.00592791937"/>
    <n v="7552.0500000000065"/>
    <n v="1563178.3666639023"/>
    <n v="15.356894347474908"/>
    <n v="5.6952657867238347E-2"/>
    <n v="13.478460276073289"/>
  </r>
  <r>
    <x v="1"/>
    <n v="7"/>
    <x v="6"/>
    <s v="Saturday"/>
    <n v="687152.38450271648"/>
    <n v="20881.425321279767"/>
    <n v="24102.736408047938"/>
    <n v="3268.5900000000024"/>
    <n v="666270.95918143669"/>
    <n v="27.642959201884143"/>
    <n v="3.0388347318901311E-2"/>
    <n v="7.3740470380341128"/>
  </r>
  <r>
    <x v="1"/>
    <n v="9"/>
    <x v="6"/>
    <s v="Saturday"/>
    <n v="833516.33334181819"/>
    <n v="36531.775064756555"/>
    <n v="40759.34077165465"/>
    <n v="3589.0399999999981"/>
    <n v="796984.55827706167"/>
    <n v="19.553421208208309"/>
    <n v="4.3828505337489498E-2"/>
    <n v="11.35661368267132"/>
  </r>
  <r>
    <x v="1"/>
    <n v="10"/>
    <x v="6"/>
    <s v="Saturday"/>
    <n v="1582255.5071714565"/>
    <n v="92988.416137741588"/>
    <n v="131112.47027696364"/>
    <n v="7038.87"/>
    <n v="1489267.0910337148"/>
    <n v="11.358699045847953"/>
    <n v="5.8769532301375126E-2"/>
    <n v="18.626920269441491"/>
  </r>
  <r>
    <x v="1"/>
    <n v="11"/>
    <x v="6"/>
    <s v="Saturday"/>
    <n v="1138156.0724270102"/>
    <n v="55821.584658949716"/>
    <n v="68853.883773569949"/>
    <n v="5213.2999999999965"/>
    <n v="1082334.4877680605"/>
    <n v="15.719294663571647"/>
    <n v="4.9045632678403644E-2"/>
    <n v="13.207351154464542"/>
  </r>
  <r>
    <x v="1"/>
    <n v="14"/>
    <x v="6"/>
    <s v="Saturday"/>
    <n v="1147510.1163179791"/>
    <n v="68484.920243238201"/>
    <n v="79316.708400923177"/>
    <n v="5364.91"/>
    <n v="1079025.196074741"/>
    <n v="13.604008762196466"/>
    <n v="5.968132155818031E-2"/>
    <n v="14.784350231583229"/>
  </r>
  <r>
    <x v="1"/>
    <n v="17"/>
    <x v="6"/>
    <s v="Saturday"/>
    <n v="1042478.4079537167"/>
    <n v="73396.264972207762"/>
    <n v="83139.622698775391"/>
    <n v="4743"/>
    <n v="969082.14298150898"/>
    <n v="11.65608059700496"/>
    <n v="7.0405549325743319E-2"/>
    <n v="17.528910541592957"/>
  </r>
  <r>
    <x v="1"/>
    <n v="18"/>
    <x v="6"/>
    <s v="Saturday"/>
    <n v="2022083.7637221662"/>
    <n v="139772.92577344133"/>
    <n v="197435.0940417028"/>
    <n v="9270.4900000000016"/>
    <n v="1882310.8379487249"/>
    <n v="9.5338209606805666"/>
    <n v="6.9123212539995496E-2"/>
    <n v="21.297158407128723"/>
  </r>
  <r>
    <x v="1"/>
    <n v="19"/>
    <x v="6"/>
    <s v="Saturday"/>
    <n v="450054.53721457283"/>
    <n v="15526.935556928231"/>
    <n v="18106.52879166124"/>
    <n v="1790.1000000000013"/>
    <n v="434527.60165764461"/>
    <n v="23.99839343352004"/>
    <n v="3.4500120036620008E-2"/>
    <n v="10.114814139802931"/>
  </r>
  <r>
    <x v="1"/>
    <n v="21"/>
    <x v="6"/>
    <s v="Saturday"/>
    <n v="2214497.8866501106"/>
    <n v="138119.50358578051"/>
    <n v="200340.25397630292"/>
    <n v="10221.240000000007"/>
    <n v="2076378.3830643301"/>
    <n v="10.364259512768376"/>
    <n v="6.2370573671991635E-2"/>
    <n v="19.600386447857872"/>
  </r>
  <r>
    <x v="1"/>
    <n v="22"/>
    <x v="6"/>
    <s v="Saturday"/>
    <n v="1309021.2013108234"/>
    <n v="70629.167209044434"/>
    <n v="81678.013898040561"/>
    <n v="6187.9800000000014"/>
    <n v="1238392.0341017791"/>
    <n v="15.161877413518841"/>
    <n v="5.3955709149949613E-2"/>
    <n v="13.199463136280425"/>
  </r>
  <r>
    <x v="1"/>
    <n v="25"/>
    <x v="6"/>
    <s v="Saturday"/>
    <n v="183452.83105479411"/>
    <n v="4636.2960426842164"/>
    <n v="4403.9462847722343"/>
    <n v="857.6699999999995"/>
    <n v="178816.5350121099"/>
    <n v="40.60370482501424"/>
    <n v="2.5272414800180637E-2"/>
    <n v="5.1347794428769067"/>
  </r>
  <r>
    <x v="1"/>
    <n v="54"/>
    <x v="6"/>
    <s v="Saturday"/>
    <n v="1285186.0632296565"/>
    <n v="96467.149380774936"/>
    <n v="107957.23027171762"/>
    <n v="5948.5399999999991"/>
    <n v="1188718.9138488816"/>
    <n v="11.011017148707818"/>
    <n v="7.5060843048946696E-2"/>
    <n v="18.148525566225938"/>
  </r>
  <r>
    <x v="1"/>
    <n v="61"/>
    <x v="6"/>
    <s v="Saturday"/>
    <n v="337054.87228888308"/>
    <n v="16890.321157226626"/>
    <n v="17708.197904833072"/>
    <n v="1548.3699999999997"/>
    <n v="320164.55113165645"/>
    <n v="18.080018805542849"/>
    <n v="5.0111487908563047E-2"/>
    <n v="11.436670760111005"/>
  </r>
  <r>
    <x v="1"/>
    <n v="62"/>
    <x v="6"/>
    <s v="Saturday"/>
    <n v="639891.22502560727"/>
    <n v="35229.152568382822"/>
    <n v="44767.080600995127"/>
    <n v="2833.7099999999973"/>
    <n v="604662.07245722448"/>
    <n v="13.506846199030084"/>
    <n v="5.5054908069684841E-2"/>
    <n v="15.798045883663173"/>
  </r>
  <r>
    <x v="1"/>
    <n v="63"/>
    <x v="6"/>
    <s v="Saturday"/>
    <n v="1137467.1199290918"/>
    <n v="63803.875793139297"/>
    <n v="74590.910759593782"/>
    <n v="5356.2000000000035"/>
    <n v="1073663.2441359526"/>
    <n v="14.394022451292559"/>
    <n v="5.6092940776272061E-2"/>
    <n v="13.926087666553476"/>
  </r>
  <r>
    <x v="1"/>
    <n v="64"/>
    <x v="6"/>
    <s v="Saturday"/>
    <n v="1105004.5291899159"/>
    <n v="50666.409137098439"/>
    <n v="75911.244872466879"/>
    <n v="5040.9000000000042"/>
    <n v="1054338.1200528175"/>
    <n v="13.889090105479584"/>
    <n v="4.5851766032345795E-2"/>
    <n v="15.059065816117522"/>
  </r>
  <r>
    <x v="1"/>
    <n v="68"/>
    <x v="6"/>
    <s v="Saturday"/>
    <n v="989098.49933239177"/>
    <n v="46696.586136453094"/>
    <n v="63393.0328690803"/>
    <n v="4720.66"/>
    <n v="942401.91319593869"/>
    <n v="14.866017140120006"/>
    <n v="4.7211259715763114E-2"/>
    <n v="13.428849539911855"/>
  </r>
  <r>
    <x v="1"/>
    <n v="70"/>
    <x v="6"/>
    <s v="Saturday"/>
    <n v="90110.404620761125"/>
    <n v="3005.2646199473784"/>
    <n v="3898.3316124250118"/>
    <n v="403.45999999999964"/>
    <n v="87105.140000813743"/>
    <n v="22.344209949504211"/>
    <n v="3.335091694011743E-2"/>
    <n v="9.6622505636866496"/>
  </r>
  <r>
    <x v="1"/>
    <n v="71"/>
    <x v="6"/>
    <s v="Saturday"/>
    <n v="488599.87482966506"/>
    <n v="11384.180331921636"/>
    <n v="17765.557552536327"/>
    <n v="1973.1900000000019"/>
    <n v="477215.69449774345"/>
    <n v="26.861847318133453"/>
    <n v="2.3299597315472854E-2"/>
    <n v="9.00347029558041"/>
  </r>
  <r>
    <x v="1"/>
    <n v="74"/>
    <x v="6"/>
    <s v="Saturday"/>
    <n v="1076075.070144336"/>
    <n v="52814.498305169756"/>
    <n v="63722.319735524921"/>
    <n v="5171.9399999999987"/>
    <n v="1023260.5718391662"/>
    <n v="16.058118663698032"/>
    <n v="4.9080681980752189E-2"/>
    <n v="12.320777065380677"/>
  </r>
  <r>
    <x v="1"/>
    <n v="2"/>
    <x v="6"/>
    <s v="Sunday"/>
    <n v="973920.27031057153"/>
    <n v="63494.263847684997"/>
    <n v="75338.710611132527"/>
    <n v="4292.5599999999977"/>
    <n v="910426.00646288658"/>
    <n v="12.084438386026164"/>
    <n v="6.5194519287946881E-2"/>
    <n v="17.550997682299737"/>
  </r>
  <r>
    <x v="1"/>
    <n v="3"/>
    <x v="6"/>
    <s v="Sunday"/>
    <n v="843829.34674295166"/>
    <n v="37054.430501322044"/>
    <n v="44578.006206714024"/>
    <n v="3884.3200000000052"/>
    <n v="806774.91624162963"/>
    <n v="18.098048452425378"/>
    <n v="4.3912232543637297E-2"/>
    <n v="11.476399011078893"/>
  </r>
  <r>
    <x v="1"/>
    <n v="4"/>
    <x v="6"/>
    <s v="Sunday"/>
    <n v="1144867.2225314295"/>
    <n v="62104.893698447442"/>
    <n v="59702.895533504146"/>
    <n v="5346.590000000002"/>
    <n v="1082762.3288329821"/>
    <n v="18.135842812269569"/>
    <n v="5.4246372396902567E-2"/>
    <n v="11.166537088780723"/>
  </r>
  <r>
    <x v="1"/>
    <n v="5"/>
    <x v="6"/>
    <s v="Sunday"/>
    <n v="1989069.6836913063"/>
    <n v="148137.23449232173"/>
    <n v="178733.72445904484"/>
    <n v="9285.1599999999944"/>
    <n v="1840932.4491989845"/>
    <n v="10.299860615397275"/>
    <n v="7.447563838860051E-2"/>
    <n v="19.249396290321862"/>
  </r>
  <r>
    <x v="1"/>
    <n v="6"/>
    <x v="6"/>
    <s v="Sunday"/>
    <n v="1666068.7877732483"/>
    <n v="84678.212913688665"/>
    <n v="90211.854817447253"/>
    <n v="7472.8799999999956"/>
    <n v="1581390.5748595595"/>
    <n v="17.529742383189685"/>
    <n v="5.0825160122508317E-2"/>
    <n v="12.071899296850384"/>
  </r>
  <r>
    <x v="1"/>
    <n v="7"/>
    <x v="6"/>
    <s v="Sunday"/>
    <n v="700378.30870264745"/>
    <n v="18671.314396817626"/>
    <n v="20115.178676973417"/>
    <n v="3363.4699999999957"/>
    <n v="681706.99430582987"/>
    <n v="33.890178419653061"/>
    <n v="2.6658898719184518E-2"/>
    <n v="5.9804840468246905"/>
  </r>
  <r>
    <x v="1"/>
    <n v="9"/>
    <x v="6"/>
    <s v="Sunday"/>
    <n v="792100.63306319213"/>
    <n v="32506.886018717498"/>
    <n v="35109.415472883898"/>
    <n v="3624.4499999999957"/>
    <n v="759593.74704447458"/>
    <n v="21.635043956545864"/>
    <n v="4.1038833529279818E-2"/>
    <n v="9.68682571780103"/>
  </r>
  <r>
    <x v="1"/>
    <n v="10"/>
    <x v="6"/>
    <s v="Sunday"/>
    <n v="1171409.0766020396"/>
    <n v="73960.174399472715"/>
    <n v="102611.0986626345"/>
    <n v="4928.3099999999977"/>
    <n v="1097448.9022025669"/>
    <n v="10.695226115946456"/>
    <n v="6.3137784977740141E-2"/>
    <n v="20.820747611784679"/>
  </r>
  <r>
    <x v="1"/>
    <n v="11"/>
    <x v="6"/>
    <s v="Sunday"/>
    <n v="790861.82774033363"/>
    <n v="42809.966688306413"/>
    <n v="48949.023804841796"/>
    <n v="3532.1500000000024"/>
    <n v="748051.86105202721"/>
    <n v="15.282263115899639"/>
    <n v="5.413077883733991E-2"/>
    <n v="13.85813847227376"/>
  </r>
  <r>
    <x v="1"/>
    <n v="14"/>
    <x v="6"/>
    <s v="Sunday"/>
    <n v="1123751.8921736332"/>
    <n v="58750.369580362312"/>
    <n v="64492.426116726048"/>
    <n v="5044.78"/>
    <n v="1065001.522593271"/>
    <n v="16.513590613969225"/>
    <n v="5.228055230832454E-2"/>
    <n v="12.783991792848459"/>
  </r>
  <r>
    <x v="1"/>
    <n v="17"/>
    <x v="6"/>
    <s v="Sunday"/>
    <n v="866301.30802895152"/>
    <n v="59197.688042342532"/>
    <n v="65333.700949707141"/>
    <n v="3986.009999999997"/>
    <n v="807103.61998660897"/>
    <n v="12.353557325765223"/>
    <n v="6.8333831997820518E-2"/>
    <n v="16.390751892169661"/>
  </r>
  <r>
    <x v="1"/>
    <n v="18"/>
    <x v="6"/>
    <s v="Sunday"/>
    <n v="1743547.3056210231"/>
    <n v="128089.43457282784"/>
    <n v="175556.63730570339"/>
    <n v="7808.8700000000081"/>
    <n v="1615457.8710481953"/>
    <n v="9.2019185138249"/>
    <n v="7.346484615581135E-2"/>
    <n v="22.481695470113245"/>
  </r>
  <r>
    <x v="1"/>
    <n v="19"/>
    <x v="6"/>
    <s v="Sunday"/>
    <n v="471768.81439953716"/>
    <n v="13081.622233464126"/>
    <n v="16422.916910000848"/>
    <n v="1877.3699999999983"/>
    <n v="458687.19216607301"/>
    <n v="27.92970302898825"/>
    <n v="2.7728882948980613E-2"/>
    <n v="8.7478317593233417"/>
  </r>
  <r>
    <x v="1"/>
    <n v="21"/>
    <x v="6"/>
    <s v="Sunday"/>
    <n v="1752161.6665451054"/>
    <n v="110301.76045210857"/>
    <n v="163911.56660624413"/>
    <n v="8003.9400000000032"/>
    <n v="1641859.9060929967"/>
    <n v="10.016742198780564"/>
    <n v="6.2951816923149828E-2"/>
    <n v="20.478859987236795"/>
  </r>
  <r>
    <x v="1"/>
    <n v="22"/>
    <x v="6"/>
    <s v="Sunday"/>
    <n v="1076299.2660878382"/>
    <n v="54206.733544889466"/>
    <n v="64721.864707539076"/>
    <n v="5194.7100000000028"/>
    <n v="1022092.5325429487"/>
    <n v="15.792074860041712"/>
    <n v="5.0363997498503899E-2"/>
    <n v="12.459187270808004"/>
  </r>
  <r>
    <x v="1"/>
    <n v="54"/>
    <x v="6"/>
    <s v="Sunday"/>
    <n v="862818.90680432157"/>
    <n v="67236.27075195864"/>
    <n v="73682.716337625548"/>
    <n v="3840.0899999999956"/>
    <n v="795582.63605236297"/>
    <n v="10.797411870741584"/>
    <n v="7.7926283512940148E-2"/>
    <n v="19.187757666519701"/>
  </r>
  <r>
    <x v="1"/>
    <n v="62"/>
    <x v="6"/>
    <s v="Sunday"/>
    <n v="469777.23437586543"/>
    <n v="25826.207146685396"/>
    <n v="33650.993319243702"/>
    <n v="2023.5"/>
    <n v="443951.02722918004"/>
    <n v="13.192806019645833"/>
    <n v="5.497543358182834E-2"/>
    <n v="16.630093066095231"/>
  </r>
  <r>
    <x v="1"/>
    <n v="63"/>
    <x v="6"/>
    <s v="Sunday"/>
    <n v="1106865.1918743148"/>
    <n v="51706.867573748103"/>
    <n v="60150.088342449897"/>
    <n v="4976.1699999999983"/>
    <n v="1055158.3243005667"/>
    <n v="17.542091015615462"/>
    <n v="4.6714692948461103E-2"/>
    <n v="12.087627300202749"/>
  </r>
  <r>
    <x v="1"/>
    <n v="64"/>
    <x v="6"/>
    <s v="Sunday"/>
    <n v="868778.91867466946"/>
    <n v="52869.315932313584"/>
    <n v="73171.790586787291"/>
    <n v="3974.1899999999991"/>
    <n v="815909.6027423559"/>
    <n v="11.150603206499714"/>
    <n v="6.0854740827466475E-2"/>
    <n v="18.411749460088046"/>
  </r>
  <r>
    <x v="1"/>
    <n v="68"/>
    <x v="6"/>
    <s v="Sunday"/>
    <n v="855659.66443038115"/>
    <n v="39609.213466907189"/>
    <n v="54284.533256942843"/>
    <n v="3866.25"/>
    <n v="816050.450963474"/>
    <n v="15.032835358478529"/>
    <n v="4.629085033858097E-2"/>
    <n v="14.040616425979398"/>
  </r>
  <r>
    <x v="1"/>
    <n v="70"/>
    <x v="6"/>
    <s v="Sunday"/>
    <n v="97661.062163260605"/>
    <n v="2979.3794383081672"/>
    <n v="3774.0523757346232"/>
    <n v="430.02000000000055"/>
    <n v="94681.682724952436"/>
    <n v="25.087538088689758"/>
    <n v="3.0507342151650164E-2"/>
    <n v="8.776457782741776"/>
  </r>
  <r>
    <x v="1"/>
    <n v="71"/>
    <x v="6"/>
    <s v="Sunday"/>
    <n v="151407.53933454579"/>
    <n v="5913.5301939185192"/>
    <n v="6683.4611731275681"/>
    <n v="669.1800000000004"/>
    <n v="145494.00914062725"/>
    <n v="21.769260772490192"/>
    <n v="3.9057039166670235E-2"/>
    <n v="9.9875387386466485"/>
  </r>
  <r>
    <x v="1"/>
    <n v="74"/>
    <x v="6"/>
    <s v="Sunday"/>
    <n v="899035.55224711716"/>
    <n v="43217.571352736522"/>
    <n v="52280.132234423494"/>
    <n v="3969.179999999998"/>
    <n v="855817.9808943806"/>
    <n v="16.369851113935653"/>
    <n v="4.8071037062678186E-2"/>
    <n v="13.171519617256845"/>
  </r>
  <r>
    <x v="0"/>
    <s v="TransitLink"/>
    <x v="7"/>
    <s v="All Days"/>
    <n v="7562863"/>
    <n v="488768"/>
    <n v="115684"/>
    <n v="82836"/>
    <n v="7074095"/>
    <n v="61.150159053974619"/>
    <n v="6.4627377224736188E-2"/>
    <n v="1.3965425660340915"/>
  </r>
  <r>
    <x v="2"/>
    <s v="MY RIDE"/>
    <x v="7"/>
    <s v="All Days"/>
    <n v="957957.8"/>
    <n v="38747"/>
    <n v="24303"/>
    <n v="10654"/>
    <n v="919210.8"/>
    <n v="37.822935440069131"/>
    <n v="4.0447501967205653E-2"/>
    <n v="2.2811150741505539"/>
  </r>
  <r>
    <x v="3"/>
    <s v="SW Prime "/>
    <x v="7"/>
    <s v="Weekday"/>
    <n v="1065874"/>
    <n v="180341"/>
    <n v="59230"/>
    <n v="25153.87"/>
    <n v="885533"/>
    <n v="14.950751308458551"/>
    <n v="0.169195420847117"/>
    <n v="2.3547072478310493"/>
  </r>
  <r>
    <x v="3"/>
    <s v="SW Prime "/>
    <x v="7"/>
    <s v="Saturday"/>
    <n v="58418"/>
    <n v="7860"/>
    <n v="3437"/>
    <n v="1450.7"/>
    <n v="50558"/>
    <n v="14.709921443118999"/>
    <n v="0.13454757095415795"/>
    <n v="2.369201075342938"/>
  </r>
  <r>
    <x v="5"/>
    <s v="DAR"/>
    <x v="7"/>
    <s v="Weekday"/>
    <n v="1151172.3004733501"/>
    <n v="72926.42"/>
    <n v="32798"/>
    <n v="11561.210000000001"/>
    <n v="1078245.8804733502"/>
    <n v="32.875354609224651"/>
    <n v="6.3349700101377887E-2"/>
    <n v="2.8369002898485536"/>
  </r>
  <r>
    <x v="1"/>
    <s v="Blue Line"/>
    <x v="8"/>
    <s v="Weekday"/>
    <n v="29224074.356387481"/>
    <n v="2101322.381898337"/>
    <n v="3157577"/>
    <n v="33872.039999999972"/>
    <n v="27122751.974489145"/>
    <n v="8.5897357291648451"/>
    <n v="7.1903813146405191E-2"/>
    <n v="93.220750802136592"/>
  </r>
  <r>
    <x v="1"/>
    <s v="Green Line"/>
    <x v="8"/>
    <s v="Weekday"/>
    <n v="31234209.320540417"/>
    <n v="2805054.5836140546"/>
    <n v="4541649"/>
    <n v="38480.250000000051"/>
    <n v="28429154.736926362"/>
    <n v="6.2596547502738238"/>
    <n v="8.9807126373113555E-2"/>
    <n v="118.025454616329"/>
  </r>
  <r>
    <x v="1"/>
    <s v="Blue Line"/>
    <x v="8"/>
    <s v="Saturday"/>
    <n v="5626958.2164504398"/>
    <n v="452217.63314802124"/>
    <n v="679530.19"/>
    <n v="6529.010000000002"/>
    <n v="5174740.5833024187"/>
    <n v="7.6151739237699196"/>
    <n v="8.0366268195480955E-2"/>
    <n v="104.0785953766344"/>
  </r>
  <r>
    <x v="1"/>
    <s v="Green Line"/>
    <x v="8"/>
    <s v="Saturday"/>
    <n v="6030198.876438573"/>
    <n v="517917.34712088172"/>
    <n v="838557.23"/>
    <n v="7406.8599999999979"/>
    <n v="5512281.529317691"/>
    <n v="6.5735305022862791"/>
    <n v="8.5887274654324997E-2"/>
    <n v="113.21359253448833"/>
  </r>
  <r>
    <x v="1"/>
    <s v="Blue Line"/>
    <x v="8"/>
    <s v="Sunday"/>
    <n v="6278159.7347466554"/>
    <n v="473079.15284381859"/>
    <n v="710878"/>
    <n v="7267.8400000000038"/>
    <n v="5805080.5819028364"/>
    <n v="8.1660715086172821"/>
    <n v="7.5353156471242425E-2"/>
    <n v="97.811454297287725"/>
  </r>
  <r>
    <x v="1"/>
    <s v="Green Line"/>
    <x v="8"/>
    <s v="Sunday"/>
    <n v="6714879.8654364487"/>
    <n v="460358.18137488578"/>
    <n v="745363.49"/>
    <n v="8242.3699999999972"/>
    <n v="6254521.6840615626"/>
    <n v="8.3912369843357411"/>
    <n v="6.8557917729026085E-2"/>
    <n v="90.430724415429083"/>
  </r>
  <r>
    <x v="3"/>
    <n v="682"/>
    <x v="9"/>
    <s v="Special Event"/>
    <n v="1072586"/>
    <n v="98369"/>
    <n v="61719"/>
    <n v="1795.9"/>
    <n v="974217"/>
    <n v="15.784717834054343"/>
    <n v="9.1711993257417121E-2"/>
    <n v="34.366612840358592"/>
  </r>
  <r>
    <x v="4"/>
    <n v="420"/>
    <x v="10"/>
    <s v="Weekday"/>
    <n v="515925.41513910878"/>
    <n v="4266.6565743198271"/>
    <n v="4637"/>
    <n v="3166.2879999999996"/>
    <n v="511658.75856478896"/>
    <n v="110.34262638878347"/>
    <n v="8.2699096596538287E-3"/>
    <n v="1.4644909117553426"/>
  </r>
  <r>
    <x v="0"/>
    <n v="219"/>
    <x v="10"/>
    <s v="Weekday"/>
    <n v="1197351"/>
    <n v="66261.66"/>
    <n v="58386"/>
    <n v="12381"/>
    <n v="1131089.3400000001"/>
    <n v="19.372612270064742"/>
    <n v="5.534021352134838E-2"/>
    <n v="4.7157741700993459"/>
  </r>
  <r>
    <x v="0"/>
    <n v="223"/>
    <x v="10"/>
    <s v="Weekday"/>
    <n v="78304"/>
    <n v="3611.454999999999"/>
    <n v="3412"/>
    <n v="776"/>
    <n v="74692.544999999998"/>
    <n v="21.891132766705745"/>
    <n v="4.6120951675521035E-2"/>
    <n v="4.3969072164948457"/>
  </r>
  <r>
    <x v="0"/>
    <n v="225"/>
    <x v="10"/>
    <s v="Weekday"/>
    <n v="188108"/>
    <n v="7474.3229999999985"/>
    <n v="8105"/>
    <n v="1906"/>
    <n v="180633.677"/>
    <n v="22.286696730413325"/>
    <n v="3.9734211197822521E-2"/>
    <n v="4.2523609653725076"/>
  </r>
  <r>
    <x v="0"/>
    <n v="227"/>
    <x v="10"/>
    <s v="Weekday"/>
    <n v="213341"/>
    <n v="7009.9809999999961"/>
    <n v="6523"/>
    <n v="1778"/>
    <n v="206331.019"/>
    <n v="31.631307527211405"/>
    <n v="3.2858105099347973E-2"/>
    <n v="3.668728908886389"/>
  </r>
  <r>
    <x v="0"/>
    <n v="323"/>
    <x v="10"/>
    <s v="Weekday"/>
    <n v="386342"/>
    <n v="20554.792000000034"/>
    <n v="24884"/>
    <n v="3539"/>
    <n v="365787.20799999998"/>
    <n v="14.699694904356212"/>
    <n v="5.3203617520228279E-2"/>
    <n v="7.0313647923142133"/>
  </r>
  <r>
    <x v="0"/>
    <n v="534"/>
    <x v="10"/>
    <s v="Weekday"/>
    <n v="24216"/>
    <n v="1421.5500000000011"/>
    <n v="919"/>
    <n v="251"/>
    <n v="22794.449999999997"/>
    <n v="24.803536452665938"/>
    <n v="5.8702923686818675E-2"/>
    <n v="3.6613545816733066"/>
  </r>
  <r>
    <x v="0"/>
    <n v="537"/>
    <x v="10"/>
    <s v="Weekday"/>
    <n v="72136"/>
    <n v="2900.3470000000007"/>
    <n v="2074"/>
    <n v="726"/>
    <n v="69235.653000000006"/>
    <n v="33.382667791706851"/>
    <n v="4.0206651325274491E-2"/>
    <n v="2.8567493112947657"/>
  </r>
  <r>
    <x v="0"/>
    <n v="538"/>
    <x v="10"/>
    <s v="Weekday"/>
    <n v="691433"/>
    <n v="70252.715999999957"/>
    <n v="59791"/>
    <n v="7627"/>
    <n v="621180.28399999999"/>
    <n v="10.389193758257932"/>
    <n v="0.10160451699586215"/>
    <n v="7.8393863904549628"/>
  </r>
  <r>
    <x v="0"/>
    <n v="539"/>
    <x v="10"/>
    <s v="Weekday"/>
    <n v="903450"/>
    <n v="105659.04499999965"/>
    <n v="87086"/>
    <n v="10375"/>
    <n v="797790.95500000031"/>
    <n v="9.1609553200284815"/>
    <n v="0.11695062814765582"/>
    <n v="8.3938313253012051"/>
  </r>
  <r>
    <x v="0"/>
    <n v="540"/>
    <x v="10"/>
    <s v="Weekday"/>
    <n v="891821.55732679344"/>
    <n v="94687.019999999757"/>
    <n v="82676"/>
    <n v="9064"/>
    <n v="797134.53732679365"/>
    <n v="9.6416679245100596"/>
    <n v="0.10617260731375576"/>
    <n v="9.1213592233009706"/>
  </r>
  <r>
    <x v="0"/>
    <n v="542"/>
    <x v="10"/>
    <s v="Weekday"/>
    <n v="33646.441606909604"/>
    <n v="1428.2800000000016"/>
    <n v="961"/>
    <n v="346"/>
    <n v="32218.161606909602"/>
    <n v="33.525662442153589"/>
    <n v="4.2449659809098247E-2"/>
    <n v="2.7774566473988438"/>
  </r>
  <r>
    <x v="0"/>
    <n v="546"/>
    <x v="10"/>
    <s v="Weekday"/>
    <n v="45652"/>
    <n v="3065.7620000000047"/>
    <n v="1828"/>
    <n v="425"/>
    <n v="42586.237999999998"/>
    <n v="23.296629102844637"/>
    <n v="6.715504249540008E-2"/>
    <n v="4.3011764705882349"/>
  </r>
  <r>
    <x v="0"/>
    <n v="547"/>
    <x v="10"/>
    <s v="Weekday"/>
    <n v="14245"/>
    <n v="184.03399999999999"/>
    <n v="169"/>
    <n v="139"/>
    <n v="14060.966"/>
    <n v="83.200982248520717"/>
    <n v="1.2919199719199718E-2"/>
    <n v="1.2158273381294964"/>
  </r>
  <r>
    <x v="0"/>
    <n v="604"/>
    <x v="10"/>
    <s v="Weekday"/>
    <n v="169174"/>
    <n v="5500.1259999999984"/>
    <n v="4884"/>
    <n v="1610"/>
    <n v="163673.87400000001"/>
    <n v="33.512259213759215"/>
    <n v="3.2511650726470963E-2"/>
    <n v="3.0335403726708075"/>
  </r>
  <r>
    <x v="0"/>
    <n v="615"/>
    <x v="10"/>
    <s v="Weekday"/>
    <n v="417813"/>
    <n v="23374.340000000026"/>
    <n v="18552"/>
    <n v="5453"/>
    <n v="394438.66"/>
    <n v="21.261247304872789"/>
    <n v="5.5944501487507632E-2"/>
    <n v="3.4021639464514948"/>
  </r>
  <r>
    <x v="0"/>
    <n v="705"/>
    <x v="10"/>
    <s v="Weekday"/>
    <n v="594987.5089702236"/>
    <n v="25379.752000000037"/>
    <n v="24079"/>
    <n v="5685"/>
    <n v="569607.75697022351"/>
    <n v="23.655789566436461"/>
    <n v="4.2655940868281617E-2"/>
    <n v="4.2355321020228676"/>
  </r>
  <r>
    <x v="0"/>
    <n v="716"/>
    <x v="10"/>
    <s v="Weekday"/>
    <n v="264744"/>
    <n v="17939.127000000004"/>
    <n v="15633"/>
    <n v="3112"/>
    <n v="246804.87299999999"/>
    <n v="15.787428708501247"/>
    <n v="6.7760277853322476E-2"/>
    <n v="5.0234575835475574"/>
  </r>
  <r>
    <x v="0"/>
    <n v="717"/>
    <x v="10"/>
    <s v="Weekday"/>
    <n v="274726"/>
    <n v="24279.987000000023"/>
    <n v="27664"/>
    <n v="3480"/>
    <n v="250446.01299999998"/>
    <n v="9.0531381217466738"/>
    <n v="8.8378919359652974E-2"/>
    <n v="7.9494252873563216"/>
  </r>
  <r>
    <x v="0"/>
    <n v="801"/>
    <x v="10"/>
    <s v="Weekday"/>
    <n v="392273"/>
    <n v="35858.759000000049"/>
    <n v="35490"/>
    <n v="4315"/>
    <n v="356414.24099999992"/>
    <n v="10.042666694843616"/>
    <n v="9.1412763560071816E-2"/>
    <n v="8.2247972190034755"/>
  </r>
  <r>
    <x v="0"/>
    <n v="804"/>
    <x v="10"/>
    <s v="Weekday"/>
    <n v="95944"/>
    <n v="5466.6410000000014"/>
    <n v="4706"/>
    <n v="968"/>
    <n v="90477.358999999997"/>
    <n v="19.225958138546535"/>
    <n v="5.6977413908113082E-2"/>
    <n v="4.8615702479338845"/>
  </r>
  <r>
    <x v="0"/>
    <n v="805"/>
    <x v="10"/>
    <s v="Weekday"/>
    <n v="497653"/>
    <n v="39299.687000000049"/>
    <n v="33432"/>
    <n v="6038"/>
    <n v="458353.31299999997"/>
    <n v="13.710017737497008"/>
    <n v="7.8970059459101113E-2"/>
    <n v="5.5369327591917852"/>
  </r>
  <r>
    <x v="0"/>
    <n v="831"/>
    <x v="10"/>
    <s v="Weekday"/>
    <n v="195128"/>
    <n v="5067.3119999999999"/>
    <n v="4824"/>
    <n v="2222"/>
    <n v="190060.68799999999"/>
    <n v="39.39898175787728"/>
    <n v="2.5969168955762369E-2"/>
    <n v="2.1710171017101709"/>
  </r>
  <r>
    <x v="0"/>
    <n v="219"/>
    <x v="10"/>
    <s v="Saturday"/>
    <n v="119491"/>
    <n v="8698.6449999999986"/>
    <n v="7817"/>
    <n v="1261"/>
    <n v="110792.355"/>
    <n v="14.173257643597287"/>
    <n v="7.2797491024428604E-2"/>
    <n v="6.1990483743061064"/>
  </r>
  <r>
    <x v="0"/>
    <n v="225"/>
    <x v="10"/>
    <s v="Saturday"/>
    <n v="36059"/>
    <n v="1288.6270000000004"/>
    <n v="1369"/>
    <n v="329"/>
    <n v="34770.373"/>
    <n v="25.398373265157048"/>
    <n v="3.5736626085027326E-2"/>
    <n v="4.1610942249240122"/>
  </r>
  <r>
    <x v="0"/>
    <n v="227"/>
    <x v="10"/>
    <s v="Saturday"/>
    <n v="36059"/>
    <n v="1194.8650000000002"/>
    <n v="1158"/>
    <n v="329"/>
    <n v="34864.135000000002"/>
    <n v="30.107197754749571"/>
    <n v="3.3136387587010187E-2"/>
    <n v="3.5197568389057752"/>
  </r>
  <r>
    <x v="0"/>
    <n v="323"/>
    <x v="10"/>
    <s v="Saturday"/>
    <n v="35981"/>
    <n v="3114.2019999999989"/>
    <n v="3404"/>
    <n v="328"/>
    <n v="32866.798000000003"/>
    <n v="9.6553460634547594"/>
    <n v="8.6551290959117275E-2"/>
    <n v="10.378048780487806"/>
  </r>
  <r>
    <x v="0"/>
    <n v="534"/>
    <x v="10"/>
    <s v="Saturday"/>
    <n v="4609"/>
    <n v="75.52600000000001"/>
    <n v="72"/>
    <n v="49"/>
    <n v="4533.4740000000002"/>
    <n v="62.964916666666667"/>
    <n v="1.6386634844868738E-2"/>
    <n v="1.4693877551020409"/>
  </r>
  <r>
    <x v="0"/>
    <n v="538"/>
    <x v="10"/>
    <s v="Saturday"/>
    <n v="100668"/>
    <n v="9645.1710000000021"/>
    <n v="9096"/>
    <n v="1158"/>
    <n v="91022.828999999998"/>
    <n v="10.006907321899735"/>
    <n v="9.5811687924663269E-2"/>
    <n v="7.8549222797927465"/>
  </r>
  <r>
    <x v="0"/>
    <n v="539"/>
    <x v="10"/>
    <s v="Saturday"/>
    <n v="117787"/>
    <n v="12336.491000000005"/>
    <n v="10536"/>
    <n v="1339"/>
    <n v="105450.50899999999"/>
    <n v="10.008590451784357"/>
    <n v="0.10473559051508236"/>
    <n v="7.868558625840179"/>
  </r>
  <r>
    <x v="0"/>
    <n v="540"/>
    <x v="10"/>
    <s v="Saturday"/>
    <n v="67525.308906245831"/>
    <n v="7489.5660000000007"/>
    <n v="6609"/>
    <n v="665"/>
    <n v="60035.742906245832"/>
    <n v="9.0839374952709679"/>
    <n v="0.11091494613373394"/>
    <n v="9.9383458646616543"/>
  </r>
  <r>
    <x v="0"/>
    <n v="546"/>
    <x v="10"/>
    <s v="Saturday"/>
    <n v="4682"/>
    <n v="237.83399999999995"/>
    <n v="158"/>
    <n v="55"/>
    <n v="4444.1660000000002"/>
    <n v="28.127632911392407"/>
    <n v="5.0797522426313531E-2"/>
    <n v="2.8727272727272726"/>
  </r>
  <r>
    <x v="0"/>
    <n v="615"/>
    <x v="10"/>
    <s v="Saturday"/>
    <n v="82259"/>
    <n v="3574.3729999999982"/>
    <n v="3378"/>
    <n v="1071"/>
    <n v="78684.627000000008"/>
    <n v="23.293258436944939"/>
    <n v="4.3452667793189778E-2"/>
    <n v="3.1540616246498598"/>
  </r>
  <r>
    <x v="0"/>
    <n v="716"/>
    <x v="10"/>
    <s v="Saturday"/>
    <n v="47185"/>
    <n v="2321.4109999999996"/>
    <n v="2442"/>
    <n v="570"/>
    <n v="44863.589"/>
    <n v="18.371658067158066"/>
    <n v="4.919807142100243E-2"/>
    <n v="4.2842105263157899"/>
  </r>
  <r>
    <x v="0"/>
    <n v="804"/>
    <x v="10"/>
    <s v="Saturday"/>
    <n v="16063"/>
    <n v="573.40099999999995"/>
    <n v="505"/>
    <n v="161"/>
    <n v="15489.599"/>
    <n v="30.672473267326733"/>
    <n v="3.5697005540683557E-2"/>
    <n v="3.1366459627329193"/>
  </r>
  <r>
    <x v="0"/>
    <n v="805"/>
    <x v="10"/>
    <s v="Saturday"/>
    <n v="79088"/>
    <n v="5092.378999999999"/>
    <n v="4719"/>
    <n v="980"/>
    <n v="73995.620999999999"/>
    <n v="15.680360457724094"/>
    <n v="6.4388769471980564E-2"/>
    <n v="4.8153061224489795"/>
  </r>
  <r>
    <x v="0"/>
    <n v="323"/>
    <x v="10"/>
    <s v="Sunday / Holiday"/>
    <n v="78165"/>
    <n v="2076.1179999999995"/>
    <n v="2622"/>
    <n v="685"/>
    <n v="76088.881999999998"/>
    <n v="29.019405797101449"/>
    <n v="2.6560711315806302E-2"/>
    <n v="3.8277372262773723"/>
  </r>
  <r>
    <x v="0"/>
    <n v="534"/>
    <x v="10"/>
    <s v="Sunday / Holiday"/>
    <n v="4682"/>
    <n v="106.56600000000003"/>
    <n v="68"/>
    <n v="49"/>
    <n v="4575.4340000000002"/>
    <n v="67.285794117647058"/>
    <n v="2.2760785988893643E-2"/>
    <n v="1.3877551020408163"/>
  </r>
  <r>
    <x v="0"/>
    <n v="538"/>
    <x v="10"/>
    <s v="Sunday / Holiday"/>
    <n v="86768"/>
    <n v="6147.0199999999986"/>
    <n v="6479"/>
    <n v="999"/>
    <n v="80620.98"/>
    <n v="12.443429541595926"/>
    <n v="7.0844320486815396E-2"/>
    <n v="6.4854854854854853"/>
  </r>
  <r>
    <x v="0"/>
    <n v="539"/>
    <x v="10"/>
    <s v="Sunday / Holiday"/>
    <n v="94596"/>
    <n v="7117.4579999999987"/>
    <n v="6848"/>
    <n v="1061"/>
    <n v="87478.542000000001"/>
    <n v="12.77431980140187"/>
    <n v="7.5240580997082321E-2"/>
    <n v="6.4542884071630535"/>
  </r>
  <r>
    <x v="0"/>
    <n v="540"/>
    <x v="10"/>
    <s v="Sunday / Holiday"/>
    <n v="62396.943672860078"/>
    <n v="4857.873999999998"/>
    <n v="4717"/>
    <n v="603"/>
    <n v="57539.069672860081"/>
    <n v="12.198233977710427"/>
    <n v="7.7854358147239816E-2"/>
    <n v="7.8225538971807627"/>
  </r>
  <r>
    <x v="0"/>
    <n v="546"/>
    <x v="10"/>
    <s v="Sunday / Holiday"/>
    <n v="4609"/>
    <n v="211.61599999999996"/>
    <n v="139"/>
    <n v="55"/>
    <n v="4397.384"/>
    <n v="31.635856115107913"/>
    <n v="4.5913647211976556E-2"/>
    <n v="2.5272727272727273"/>
  </r>
  <r>
    <x v="0"/>
    <n v="804"/>
    <x v="10"/>
    <s v="Sunday / Holiday"/>
    <n v="16423"/>
    <n v="347.61700000000002"/>
    <n v="377"/>
    <n v="162"/>
    <n v="16075.383"/>
    <n v="42.640273209549072"/>
    <n v="2.1166473847652682E-2"/>
    <n v="2.3271604938271606"/>
  </r>
  <r>
    <x v="2"/>
    <n v="788"/>
    <x v="10"/>
    <s v="Weekday"/>
    <n v="0"/>
    <n v="0"/>
    <n v="0"/>
    <n v="0"/>
    <n v="0"/>
    <e v="#DIV/0!"/>
    <e v="#DIV/0!"/>
    <e v="#DIV/0!"/>
  </r>
  <r>
    <x v="4"/>
    <n v="425"/>
    <x v="10"/>
    <s v="Weekday"/>
    <n v="89091.404803138284"/>
    <n v="492.65390914334591"/>
    <n v="409"/>
    <n v="631.31399999999985"/>
    <n v="88598.750893994933"/>
    <n v="216.6228628215035"/>
    <n v="5.5297580078790265E-3"/>
    <n v="0.64785510855137074"/>
  </r>
  <r>
    <x v="4"/>
    <n v="436"/>
    <x v="10"/>
    <s v="Weekday"/>
    <n v="367820.47115124669"/>
    <n v="11131.721251847153"/>
    <n v="6583"/>
    <n v="1473.1999999999998"/>
    <n v="356688.74989939953"/>
    <n v="54.183313063861391"/>
    <n v="3.0264006831935742E-2"/>
    <n v="4.468503937007875"/>
  </r>
  <r>
    <x v="4"/>
    <n v="440"/>
    <x v="10"/>
    <s v="Weekday"/>
    <n v="805921.06614933023"/>
    <n v="20157.650428226807"/>
    <n v="15080"/>
    <n v="4976.9519999999993"/>
    <n v="785763.41572110343"/>
    <n v="52.106327302460443"/>
    <n v="2.5011941336314153E-2"/>
    <n v="3.0299669355862791"/>
  </r>
  <r>
    <x v="4"/>
    <n v="442"/>
    <x v="10"/>
    <s v="Weekday"/>
    <n v="1588412.4850165143"/>
    <n v="27547.809770311138"/>
    <n v="25672"/>
    <n v="9937.3669999999984"/>
    <n v="1560864.6752462031"/>
    <n v="60.800275601675096"/>
    <n v="1.7342982399200124E-2"/>
    <n v="2.5833804870042543"/>
  </r>
  <r>
    <x v="4"/>
    <n v="444"/>
    <x v="10"/>
    <s v="Weekday"/>
    <n v="2133921.9796466166"/>
    <n v="121602.13595442027"/>
    <n v="98226"/>
    <n v="14062.901999999996"/>
    <n v="2012319.8436921963"/>
    <n v="20.486631275753837"/>
    <n v="5.6985277397329177E-2"/>
    <n v="6.9847603289847306"/>
  </r>
  <r>
    <x v="4"/>
    <s v="445 / 438 "/>
    <x v="10"/>
    <s v="Weekday"/>
    <n v="1044081.4869888079"/>
    <n v="31846.676517589494"/>
    <n v="27441"/>
    <n v="6836.9739999999965"/>
    <n v="1012234.8104712184"/>
    <n v="36.887679402034124"/>
    <n v="3.0502098652699199E-2"/>
    <n v="4.0136177203540653"/>
  </r>
  <r>
    <x v="4"/>
    <n v="446"/>
    <x v="10"/>
    <s v="Weekday"/>
    <n v="1089122.2835107385"/>
    <n v="41571.828762162171"/>
    <n v="29277"/>
    <n v="7187.2259999999997"/>
    <n v="1047550.4547485764"/>
    <n v="35.780662456828786"/>
    <n v="3.8170028647432665E-2"/>
    <n v="4.0734770271590177"/>
  </r>
  <r>
    <x v="4"/>
    <n v="447"/>
    <x v="10"/>
    <s v="Weekday"/>
    <n v="1605272.3267902199"/>
    <n v="6362.3556165215268"/>
    <n v="10309"/>
    <n v="10304.592000000001"/>
    <n v="1598909.9711736983"/>
    <n v="155.09845486213001"/>
    <n v="3.9634120082560741E-3"/>
    <n v="1.000427770454182"/>
  </r>
  <r>
    <x v="4"/>
    <n v="489"/>
    <x v="10"/>
    <s v="Weekday"/>
    <n v="63227.139740948973"/>
    <n v="1463.2870207807757"/>
    <n v="914"/>
    <n v="359.85599999999999"/>
    <n v="61763.852720168194"/>
    <n v="67.57533120368511"/>
    <n v="2.3143337288007666E-2"/>
    <n v="2.5399048508292208"/>
  </r>
  <r>
    <x v="4"/>
    <n v="497"/>
    <x v="10"/>
    <s v="Weekday"/>
    <n v="373676.52488777519"/>
    <n v="11215.202970920593"/>
    <n v="9442"/>
    <n v="3266.253999999999"/>
    <n v="362461.32191685459"/>
    <n v="38.38819338242476"/>
    <n v="3.0013132278750479E-2"/>
    <n v="2.8907733446327208"/>
  </r>
  <r>
    <x v="4"/>
    <n v="499"/>
    <x v="10"/>
    <s v="Weekday"/>
    <n v="356603.21832189802"/>
    <n v="6398.2645516627035"/>
    <n v="8688"/>
    <n v="3082.5439999999985"/>
    <n v="350204.9537702353"/>
    <n v="40.30904164022045"/>
    <n v="1.7942251283574025E-2"/>
    <n v="2.8184512532505632"/>
  </r>
  <r>
    <x v="4"/>
    <n v="420"/>
    <x v="10"/>
    <s v="Saturday"/>
    <n v="85809.275703088468"/>
    <n v="461.65989393388651"/>
    <n v="548"/>
    <n v="530.42399999999986"/>
    <n v="85347.61580915458"/>
    <n v="155.74382446926018"/>
    <n v="5.3800698135629448E-3"/>
    <n v="1.0331357555465064"/>
  </r>
  <r>
    <x v="4"/>
    <n v="440"/>
    <x v="10"/>
    <s v="Saturday"/>
    <n v="128545.68890604534"/>
    <n v="1945.5198107650258"/>
    <n v="1748"/>
    <n v="781.30500000000006"/>
    <n v="126600.16909528032"/>
    <n v="72.425726027048242"/>
    <n v="1.5134850708116827E-2"/>
    <n v="2.2372824953123298"/>
  </r>
  <r>
    <x v="4"/>
    <n v="442"/>
    <x v="10"/>
    <s v="Saturday"/>
    <n v="238452.7971379064"/>
    <n v="4117.2534175464252"/>
    <n v="4151"/>
    <n v="1486.7699999999982"/>
    <n v="234335.54372035997"/>
    <n v="56.452792994545888"/>
    <n v="1.7266534370596037E-2"/>
    <n v="2.7919584064784768"/>
  </r>
  <r>
    <x v="4"/>
    <n v="444"/>
    <x v="10"/>
    <s v="Saturday"/>
    <n v="212253.150547039"/>
    <n v="14566.362980870594"/>
    <n v="12716"/>
    <n v="1269.1380000000001"/>
    <n v="197686.78756616841"/>
    <n v="15.546302891331269"/>
    <n v="6.8627311035566629E-2"/>
    <n v="10.019398993647656"/>
  </r>
  <r>
    <x v="4"/>
    <n v="445"/>
    <x v="10"/>
    <s v="Saturday"/>
    <n v="122124.40171656931"/>
    <n v="4330.7553126125549"/>
    <n v="4176"/>
    <n v="809.28599999999994"/>
    <n v="117793.64640395675"/>
    <n v="28.207290805545199"/>
    <n v="3.5461834422440219E-2"/>
    <n v="5.1601040917549543"/>
  </r>
  <r>
    <x v="4"/>
    <n v="447"/>
    <x v="10"/>
    <s v="Saturday"/>
    <n v="352247.68124566652"/>
    <n v="1296.4843315454693"/>
    <n v="2176"/>
    <n v="2131.1200000000003"/>
    <n v="350951.19691412104"/>
    <n v="161.28271917009238"/>
    <n v="3.6806043036554954E-3"/>
    <n v="1.0210593490746649"/>
  </r>
  <r>
    <x v="4"/>
    <n v="497"/>
    <x v="10"/>
    <s v="Saturday"/>
    <n v="57506.738109581565"/>
    <n v="604.05927333441423"/>
    <n v="836"/>
    <n v="329.40799999999996"/>
    <n v="56902.678836247149"/>
    <n v="68.065405306515729"/>
    <n v="1.0504147743232337E-2"/>
    <n v="2.537886147270255"/>
  </r>
  <r>
    <x v="4"/>
    <n v="499"/>
    <x v="10"/>
    <s v="Saturday"/>
    <n v="59815.242786760769"/>
    <n v="365.37162530242597"/>
    <n v="622"/>
    <n v="321.60399999999998"/>
    <n v="59449.871161458344"/>
    <n v="95.57857099912917"/>
    <n v="6.1083364085800489E-3"/>
    <n v="1.934055546572804"/>
  </r>
  <r>
    <x v="4"/>
    <n v="420"/>
    <x v="10"/>
    <s v="Sunday"/>
    <n v="93886.032140906667"/>
    <n v="431.04161832512273"/>
    <n v="462"/>
    <n v="580.46399999999983"/>
    <n v="93454.990522581546"/>
    <n v="202.28352926965704"/>
    <n v="4.5911155099003856E-3"/>
    <n v="0.7959149921442159"/>
  </r>
  <r>
    <x v="4"/>
    <n v="440"/>
    <x v="10"/>
    <s v="Sunday"/>
    <n v="140721.34128604011"/>
    <n v="1587.7272111604427"/>
    <n v="1564"/>
    <n v="855.33600000000001"/>
    <n v="139133.61407487968"/>
    <n v="88.960111301073965"/>
    <n v="1.1282774855969548E-2"/>
    <n v="1.8285211893337823"/>
  </r>
  <r>
    <x v="4"/>
    <n v="442"/>
    <x v="10"/>
    <s v="Sunday"/>
    <n v="260384.88259045687"/>
    <n v="3639.6472096238103"/>
    <n v="3995"/>
    <n v="1624.5959999999984"/>
    <n v="256745.23538083307"/>
    <n v="64.266642147893137"/>
    <n v="1.3977951305830547E-2"/>
    <n v="2.4590729018168234"/>
  </r>
  <r>
    <x v="4"/>
    <n v="444"/>
    <x v="10"/>
    <s v="Sunday"/>
    <n v="232286.43806838803"/>
    <n v="11888.602341355218"/>
    <n v="10901"/>
    <n v="1388.8680000000002"/>
    <n v="220397.8357270328"/>
    <n v="20.218130054768626"/>
    <n v="5.1180785413976963E-2"/>
    <n v="7.8488380465242189"/>
  </r>
  <r>
    <x v="4"/>
    <n v="445"/>
    <x v="10"/>
    <s v="Sunday"/>
    <n v="133635.34312027603"/>
    <n v="3652.5476391814186"/>
    <n v="3709"/>
    <n v="885.39599999999984"/>
    <n v="129982.79548109461"/>
    <n v="35.045240086571745"/>
    <n v="2.7332197859469037E-2"/>
    <n v="4.1890860134900096"/>
  </r>
  <r>
    <x v="4"/>
    <n v="447"/>
    <x v="10"/>
    <s v="Sunday"/>
    <n v="381335.12120097282"/>
    <n v="1135.3249650156295"/>
    <n v="1878"/>
    <n v="2306.6240000000003"/>
    <n v="380199.79623595718"/>
    <n v="202.44930576994525"/>
    <n v="2.9772368237157096E-3"/>
    <n v="0.81417690963069833"/>
  </r>
  <r>
    <x v="4"/>
    <n v="497"/>
    <x v="10"/>
    <s v="Sunday"/>
    <n v="62954.089735019777"/>
    <n v="1063.9396197205292"/>
    <n v="706"/>
    <n v="360.59199999999993"/>
    <n v="61890.15011529925"/>
    <n v="87.66310214631622"/>
    <n v="1.6900246261978533E-2"/>
    <n v="1.9578914673647783"/>
  </r>
  <r>
    <x v="4"/>
    <n v="499"/>
    <x v="10"/>
    <s v="Sunday"/>
    <n v="65468.403936860079"/>
    <n v="482.04772755185849"/>
    <n v="548"/>
    <n v="351.94399999999996"/>
    <n v="64986.356209308222"/>
    <n v="118.58824125786172"/>
    <n v="7.3630591027812661E-3"/>
    <n v="1.557065896847226"/>
  </r>
  <r>
    <x v="1"/>
    <n v="501"/>
    <x v="10"/>
    <s v="Weekday"/>
    <n v="2798.3581269341412"/>
    <n v="36.832145851314692"/>
    <n v="24.430961058794352"/>
    <n v="6.660000000000001"/>
    <n v="2761.5259810828265"/>
    <n v="113.03386610281412"/>
    <n v="1.3162055812944749E-2"/>
    <n v="3.6683124712904429"/>
  </r>
  <r>
    <x v="1"/>
    <n v="515"/>
    <x v="10"/>
    <s v="Weekday"/>
    <n v="3041033.052875259"/>
    <n v="196795.66235429043"/>
    <n v="210213.54889115051"/>
    <n v="12156.75000000004"/>
    <n v="2844237.3905209685"/>
    <n v="13.530228691366259"/>
    <n v="6.4713424330663738E-2"/>
    <n v="17.291920035465878"/>
  </r>
  <r>
    <x v="1"/>
    <n v="612"/>
    <x v="10"/>
    <s v="Weekday"/>
    <n v="2500756.8313015462"/>
    <n v="128022.94128793885"/>
    <n v="131213.38076829343"/>
    <n v="10391.94000000003"/>
    <n v="2372733.8900136072"/>
    <n v="18.08301772365397"/>
    <n v="5.1193678523836286E-2"/>
    <n v="12.626456731687544"/>
  </r>
  <r>
    <x v="1"/>
    <n v="721"/>
    <x v="10"/>
    <s v="Weekday"/>
    <n v="1512399.6514027757"/>
    <n v="89644.176535202147"/>
    <n v="87887.726869767153"/>
    <n v="6634.1000000000258"/>
    <n v="1422755.4748675735"/>
    <n v="16.188329423695595"/>
    <n v="5.9272809572559537E-2"/>
    <n v="13.247874899348338"/>
  </r>
  <r>
    <x v="1"/>
    <n v="722"/>
    <x v="10"/>
    <s v="Weekday"/>
    <n v="1421565.9284825483"/>
    <n v="73710.762476576681"/>
    <n v="95169.21548098608"/>
    <n v="6063.1599999999744"/>
    <n v="1347855.1660059716"/>
    <n v="14.162722254185866"/>
    <n v="5.18518072216737E-2"/>
    <n v="15.696306130959183"/>
  </r>
  <r>
    <x v="1"/>
    <n v="723"/>
    <x v="10"/>
    <s v="Weekday"/>
    <n v="1174840.7473577019"/>
    <n v="45169.840695022787"/>
    <n v="50151.451975213764"/>
    <n v="5338.8400000000211"/>
    <n v="1129670.906662679"/>
    <n v="22.525188447604542"/>
    <n v="3.844762857996957E-2"/>
    <n v="9.3936982519074483"/>
  </r>
  <r>
    <x v="1"/>
    <n v="724"/>
    <x v="10"/>
    <s v="Weekday"/>
    <n v="2048797.4468005819"/>
    <n v="160332.9144405718"/>
    <n v="180528.86898901712"/>
    <n v="8022.47"/>
    <n v="1888464.5323600101"/>
    <n v="10.460734302140336"/>
    <n v="7.8257084267138718E-2"/>
    <n v="22.502903593159854"/>
  </r>
  <r>
    <x v="1"/>
    <n v="515"/>
    <x v="10"/>
    <s v="Saturday"/>
    <n v="510880.36950697924"/>
    <n v="28190.519559466597"/>
    <n v="36548.717743956353"/>
    <n v="1933.3500000000015"/>
    <n v="482689.84994751267"/>
    <n v="13.206751966758933"/>
    <n v="5.5180275544099724E-2"/>
    <n v="18.90434620940664"/>
  </r>
  <r>
    <x v="1"/>
    <n v="612"/>
    <x v="10"/>
    <s v="Saturday"/>
    <n v="465420.95991159731"/>
    <n v="18318.11332911484"/>
    <n v="20086.498853121793"/>
    <n v="1949.6200000000003"/>
    <n v="447102.84658248245"/>
    <n v="22.258873975590568"/>
    <n v="3.9358161550339735E-2"/>
    <n v="10.302776363148608"/>
  </r>
  <r>
    <x v="1"/>
    <n v="721"/>
    <x v="10"/>
    <s v="Saturday"/>
    <n v="186756.85740466556"/>
    <n v="8093.6487550098254"/>
    <n v="10391.656175573267"/>
    <n v="841.5"/>
    <n v="178663.20864965572"/>
    <n v="17.192948422372101"/>
    <n v="4.3337893277313362E-2"/>
    <n v="12.348967528904655"/>
  </r>
  <r>
    <x v="1"/>
    <n v="722"/>
    <x v="10"/>
    <s v="Saturday"/>
    <n v="281716.11297870503"/>
    <n v="11081.391607731173"/>
    <n v="15926.862178937499"/>
    <n v="1154.7300000000005"/>
    <n v="270634.72137097386"/>
    <n v="16.992344024228146"/>
    <n v="3.933531344928367E-2"/>
    <n v="13.792715335132449"/>
  </r>
  <r>
    <x v="1"/>
    <n v="723"/>
    <x v="10"/>
    <s v="Saturday"/>
    <n v="102490.27551564814"/>
    <n v="4621.8049781069221"/>
    <n v="5347.1938247813378"/>
    <n v="438.75000000000023"/>
    <n v="97868.470537541216"/>
    <n v="18.302772209971899"/>
    <n v="4.509505857852112E-2"/>
    <n v="12.187336352777972"/>
  </r>
  <r>
    <x v="1"/>
    <n v="724"/>
    <x v="10"/>
    <s v="Saturday"/>
    <n v="302149.03670554666"/>
    <n v="20108.563023418563"/>
    <n v="27876.788783782566"/>
    <n v="1145.9700000000009"/>
    <n v="282040.47368212813"/>
    <n v="10.117394649350944"/>
    <n v="6.6551802523252671E-2"/>
    <n v="24.325932427360701"/>
  </r>
  <r>
    <x v="1"/>
    <n v="515"/>
    <x v="10"/>
    <s v="Sunday"/>
    <n v="462969.53273373324"/>
    <n v="21586.999395852341"/>
    <n v="27587.866113869863"/>
    <n v="1761.9499999999982"/>
    <n v="441382.53333788092"/>
    <n v="15.999154538305334"/>
    <n v="4.6627257021398055E-2"/>
    <n v="15.657576045784438"/>
  </r>
  <r>
    <x v="1"/>
    <n v="612"/>
    <x v="10"/>
    <s v="Sunday"/>
    <n v="330086.79690614331"/>
    <n v="10811.510021043665"/>
    <n v="13199.092265938199"/>
    <n v="1326.5000000000014"/>
    <n v="319275.28688509966"/>
    <n v="24.189185169121583"/>
    <n v="3.2753536713308176E-2"/>
    <n v="9.9503145615817452"/>
  </r>
  <r>
    <x v="1"/>
    <n v="721"/>
    <x v="10"/>
    <s v="Sunday"/>
    <n v="217902.0924174203"/>
    <n v="6669.3841222701385"/>
    <n v="9422.9154588071615"/>
    <n v="940.5"/>
    <n v="211232.70829515017"/>
    <n v="22.416916422371248"/>
    <n v="3.0607251395705051E-2"/>
    <n v="10.019048866355302"/>
  </r>
  <r>
    <x v="1"/>
    <n v="722"/>
    <x v="10"/>
    <s v="Sunday"/>
    <n v="283661.87193363172"/>
    <n v="8382.7413530226622"/>
    <n v="12276.026824195058"/>
    <n v="1206.1899999999998"/>
    <n v="275279.13058060908"/>
    <n v="22.42412260276722"/>
    <n v="2.9551879129472748E-2"/>
    <n v="10.177523295828236"/>
  </r>
  <r>
    <x v="1"/>
    <n v="723"/>
    <x v="10"/>
    <s v="Sunday"/>
    <n v="101910.96628937052"/>
    <n v="3302.1906734402833"/>
    <n v="3856.9052001948821"/>
    <n v="442.56999999999971"/>
    <n v="98608.775615930237"/>
    <n v="25.56681341583084"/>
    <n v="3.2402702021918785E-2"/>
    <n v="8.714791332884932"/>
  </r>
  <r>
    <x v="1"/>
    <n v="724"/>
    <x v="10"/>
    <s v="Sunday"/>
    <n v="315528.78877912211"/>
    <n v="15894.329587308426"/>
    <n v="24198.335820886703"/>
    <n v="1187.3100000000002"/>
    <n v="299634.45919181372"/>
    <n v="12.382440735167638"/>
    <n v="5.0373627233218476E-2"/>
    <n v="20.380806883532269"/>
  </r>
  <r>
    <x v="0"/>
    <n v="16"/>
    <x v="11"/>
    <s v="Weekday"/>
    <n v="741688"/>
    <n v="34257.246000000086"/>
    <n v="42450"/>
    <n v="7390"/>
    <n v="707430.75399999996"/>
    <n v="16.665035429917548"/>
    <n v="4.6188216608601035E-2"/>
    <n v="5.7442489851150205"/>
  </r>
  <r>
    <x v="0"/>
    <n v="27"/>
    <x v="11"/>
    <s v="Weekday"/>
    <n v="254494"/>
    <n v="4003.3709999999992"/>
    <n v="5381"/>
    <n v="2808"/>
    <n v="250490.62900000002"/>
    <n v="46.550943876602865"/>
    <n v="1.5730708778988894E-2"/>
    <n v="1.9163105413105412"/>
  </r>
  <r>
    <x v="0"/>
    <n v="30"/>
    <x v="11"/>
    <s v="Weekday"/>
    <n v="870297.25172606832"/>
    <n v="55379.749999999993"/>
    <n v="57878"/>
    <n v="8962"/>
    <n v="814917.50172606832"/>
    <n v="14.079918133419751"/>
    <n v="6.3633143607158174E-2"/>
    <n v="6.4581566614594959"/>
  </r>
  <r>
    <x v="0"/>
    <n v="33"/>
    <x v="11"/>
    <s v="Weekday"/>
    <n v="27353"/>
    <n v="1762.6639999999993"/>
    <n v="2426"/>
    <n v="259"/>
    <n v="25590.335999999999"/>
    <n v="10.548366034624896"/>
    <n v="6.4441340986363449E-2"/>
    <n v="9.3667953667953672"/>
  </r>
  <r>
    <x v="0"/>
    <n v="80"/>
    <x v="11"/>
    <s v="Weekday"/>
    <n v="344622"/>
    <n v="47797.950000000055"/>
    <n v="46530"/>
    <n v="3539"/>
    <n v="296824.04999999993"/>
    <n v="6.3791972920696312"/>
    <n v="0.13869674599996534"/>
    <n v="13.147781859282283"/>
  </r>
  <r>
    <x v="0"/>
    <n v="83"/>
    <x v="11"/>
    <s v="Weekday"/>
    <n v="637234"/>
    <n v="33797.533000000032"/>
    <n v="39669"/>
    <n v="7330"/>
    <n v="603436.46699999995"/>
    <n v="15.211789230885577"/>
    <n v="5.3037868349774232E-2"/>
    <n v="5.4118690313778988"/>
  </r>
  <r>
    <x v="0"/>
    <n v="84"/>
    <x v="11"/>
    <s v="Weekday"/>
    <n v="678735"/>
    <n v="43308.388000000006"/>
    <n v="43762"/>
    <n v="7379"/>
    <n v="635426.61199999996"/>
    <n v="14.520054202275947"/>
    <n v="6.3807506611564174E-2"/>
    <n v="5.9306139043230788"/>
  </r>
  <r>
    <x v="0"/>
    <n v="87"/>
    <x v="11"/>
    <s v="Weekday"/>
    <n v="1142170"/>
    <n v="104495.26499999959"/>
    <n v="93428"/>
    <n v="12084"/>
    <n v="1037674.7350000005"/>
    <n v="11.10667824420945"/>
    <n v="9.1488364254007359E-2"/>
    <n v="7.7315458457464414"/>
  </r>
  <r>
    <x v="0"/>
    <n v="16"/>
    <x v="11"/>
    <s v="Saturday"/>
    <n v="151118"/>
    <n v="4804.7409999999982"/>
    <n v="7009"/>
    <n v="1376"/>
    <n v="146313.25899999999"/>
    <n v="20.875054786702808"/>
    <n v="3.1794630685954013E-2"/>
    <n v="5.09375"/>
  </r>
  <r>
    <x v="0"/>
    <n v="30"/>
    <x v="11"/>
    <s v="Saturday"/>
    <n v="153622.53130914617"/>
    <n v="6796.1039999999985"/>
    <n v="7945"/>
    <n v="1617"/>
    <n v="146826.42730914618"/>
    <n v="18.480355860182023"/>
    <n v="4.4238979413271658E-2"/>
    <n v="4.9134199134199132"/>
  </r>
  <r>
    <x v="0"/>
    <n v="33"/>
    <x v="11"/>
    <s v="Saturday"/>
    <n v="4459"/>
    <n v="113.21100000000001"/>
    <n v="140"/>
    <n v="37"/>
    <n v="4345.7889999999998"/>
    <n v="31.041349999999998"/>
    <n v="2.5389324960753534E-2"/>
    <n v="3.7837837837837838"/>
  </r>
  <r>
    <x v="0"/>
    <n v="80"/>
    <x v="11"/>
    <s v="Saturday"/>
    <n v="70590"/>
    <n v="7512.9879999999957"/>
    <n v="8169"/>
    <n v="719"/>
    <n v="63077.012000000002"/>
    <n v="7.7215096094993267"/>
    <n v="0.10643133588326953"/>
    <n v="11.361613351877608"/>
  </r>
  <r>
    <x v="0"/>
    <n v="83"/>
    <x v="11"/>
    <s v="Saturday"/>
    <n v="114203"/>
    <n v="4886.280999999999"/>
    <n v="5544"/>
    <n v="1248"/>
    <n v="109316.719"/>
    <n v="19.718022907647907"/>
    <n v="4.2785925063264528E-2"/>
    <n v="4.4423076923076925"/>
  </r>
  <r>
    <x v="0"/>
    <n v="84"/>
    <x v="11"/>
    <s v="Saturday"/>
    <n v="139161"/>
    <n v="5876.3240000000042"/>
    <n v="6622"/>
    <n v="1424"/>
    <n v="133284.67600000001"/>
    <n v="20.12755602536998"/>
    <n v="4.2226802049424798E-2"/>
    <n v="4.6502808988764048"/>
  </r>
  <r>
    <x v="0"/>
    <n v="87"/>
    <x v="11"/>
    <s v="Saturday"/>
    <n v="181216"/>
    <n v="11751.280000000012"/>
    <n v="12434"/>
    <n v="1925"/>
    <n v="169464.72"/>
    <n v="13.629139456329419"/>
    <n v="6.4846812643475249E-2"/>
    <n v="6.4592207792207796"/>
  </r>
  <r>
    <x v="0"/>
    <n v="16"/>
    <x v="11"/>
    <s v="Sunday / Holiday"/>
    <n v="155656"/>
    <n v="3946.3609999999976"/>
    <n v="6057"/>
    <n v="1363"/>
    <n v="151709.639"/>
    <n v="25.046993396070661"/>
    <n v="2.5353092717273974E-2"/>
    <n v="4.4438738077769626"/>
  </r>
  <r>
    <x v="0"/>
    <n v="30"/>
    <x v="11"/>
    <s v="Sunday / Holiday"/>
    <n v="165200.67403300188"/>
    <n v="6157.6549999999979"/>
    <n v="7630"/>
    <n v="1739"/>
    <n v="159043.01903300188"/>
    <n v="20.844432376540219"/>
    <n v="3.7273788597072512E-2"/>
    <n v="4.3875790684301323"/>
  </r>
  <r>
    <x v="0"/>
    <n v="67"/>
    <x v="11"/>
    <s v="Sunday / Holiday"/>
    <n v="161058"/>
    <n v="5297.6570000000011"/>
    <n v="6786"/>
    <n v="1676"/>
    <n v="155760.34299999999"/>
    <n v="22.953189360447979"/>
    <n v="3.2892852264401654E-2"/>
    <n v="4.0489260143198091"/>
  </r>
  <r>
    <x v="0"/>
    <n v="80"/>
    <x v="11"/>
    <s v="Sunday / Holiday"/>
    <n v="41060"/>
    <n v="5269.239999999998"/>
    <n v="5607"/>
    <n v="419"/>
    <n v="35790.76"/>
    <n v="6.3832281077224904"/>
    <n v="0.12833024841695076"/>
    <n v="13.381861575178998"/>
  </r>
  <r>
    <x v="0"/>
    <n v="83"/>
    <x v="11"/>
    <s v="Sunday / Holiday"/>
    <n v="122788"/>
    <n v="4126.6689999999981"/>
    <n v="5159"/>
    <n v="1331"/>
    <n v="118661.33100000001"/>
    <n v="23.000839503779805"/>
    <n v="3.3608080594194858E-2"/>
    <n v="3.8760330578512399"/>
  </r>
  <r>
    <x v="0"/>
    <n v="84"/>
    <x v="11"/>
    <s v="Sunday / Holiday"/>
    <n v="112582"/>
    <n v="3551.221999999997"/>
    <n v="4879"/>
    <n v="1114"/>
    <n v="109030.77800000001"/>
    <n v="22.346951834392296"/>
    <n v="3.154342612495778E-2"/>
    <n v="4.3797127468581687"/>
  </r>
  <r>
    <x v="0"/>
    <n v="87"/>
    <x v="11"/>
    <s v="Sunday / Holiday"/>
    <n v="191971"/>
    <n v="8373.8530000000083"/>
    <n v="9557"/>
    <n v="2054"/>
    <n v="183597.147"/>
    <n v="19.210750967876947"/>
    <n v="4.3620406207187587E-2"/>
    <n v="4.6528724440116846"/>
  </r>
  <r>
    <x v="1"/>
    <n v="23"/>
    <x v="11"/>
    <s v="Weekday"/>
    <n v="2911207.2369196694"/>
    <n v="186054.88528960064"/>
    <n v="146019.60538562102"/>
    <n v="13259.939999999993"/>
    <n v="2725152.3516300688"/>
    <n v="18.662920944302336"/>
    <n v="6.3909873172225337E-2"/>
    <n v="11.012086433695861"/>
  </r>
  <r>
    <x v="1"/>
    <n v="32"/>
    <x v="11"/>
    <s v="Weekday"/>
    <n v="2327648.1065159696"/>
    <n v="227299.07174880963"/>
    <n v="188822.6491606287"/>
    <n v="9428.1500000000469"/>
    <n v="2100349.0347671602"/>
    <n v="11.123395652501536"/>
    <n v="9.7651819066856951E-2"/>
    <n v="20.027539778283945"/>
  </r>
  <r>
    <x v="1"/>
    <n v="46"/>
    <x v="11"/>
    <s v="Weekday"/>
    <n v="2766926.5102417283"/>
    <n v="151554.62498884732"/>
    <n v="106061.17525041553"/>
    <n v="12589.240000000029"/>
    <n v="2615371.8852528809"/>
    <n v="24.659088295767628"/>
    <n v="5.4773635811385168E-2"/>
    <n v="8.4247480586926056"/>
  </r>
  <r>
    <x v="1"/>
    <n v="65"/>
    <x v="11"/>
    <s v="Weekday"/>
    <n v="2493793.6653190367"/>
    <n v="119484.42513101448"/>
    <n v="102505.93930851185"/>
    <n v="10240.259999999967"/>
    <n v="2374309.2401880221"/>
    <n v="23.162650439620577"/>
    <n v="4.7912714990287125E-2"/>
    <n v="10.010091473118083"/>
  </r>
  <r>
    <x v="1"/>
    <n v="23"/>
    <x v="11"/>
    <s v="Saturday"/>
    <n v="567313.92506681802"/>
    <n v="23584.646471786375"/>
    <n v="22998.032081911155"/>
    <n v="2554.0799999999981"/>
    <n v="543729.27859503159"/>
    <n v="23.642426302322441"/>
    <n v="4.1572479415181961E-2"/>
    <n v="9.0044290241148168"/>
  </r>
  <r>
    <x v="1"/>
    <n v="32"/>
    <x v="11"/>
    <s v="Saturday"/>
    <n v="359392.64330212952"/>
    <n v="19492.66793705861"/>
    <n v="24777.243376410304"/>
    <n v="1637.0999999999988"/>
    <n v="339899.97536507092"/>
    <n v="13.718232097146039"/>
    <n v="5.4237804530327484E-2"/>
    <n v="15.134838052904724"/>
  </r>
  <r>
    <x v="1"/>
    <n v="46"/>
    <x v="11"/>
    <s v="Saturday"/>
    <n v="417519.94193879643"/>
    <n v="13579.700824506523"/>
    <n v="13033.386617017683"/>
    <n v="1978.5600000000011"/>
    <n v="403940.24111428991"/>
    <n v="30.992730668087866"/>
    <n v="3.252467597463201E-2"/>
    <n v="6.5873092638169553"/>
  </r>
  <r>
    <x v="1"/>
    <n v="65"/>
    <x v="11"/>
    <s v="Saturday"/>
    <n v="494440.42462792678"/>
    <n v="15686.221338761839"/>
    <n v="15987.408473735382"/>
    <n v="2036.7000000000016"/>
    <n v="478754.20328916493"/>
    <n v="29.945704088043875"/>
    <n v="3.1725199958247623E-2"/>
    <n v="7.849662922244498"/>
  </r>
  <r>
    <x v="1"/>
    <n v="23"/>
    <x v="11"/>
    <s v="Sunday"/>
    <n v="499953.68107800902"/>
    <n v="21140.061841855299"/>
    <n v="20768.441331371618"/>
    <n v="2176.2600000000007"/>
    <n v="478813.61923615373"/>
    <n v="23.054865389098087"/>
    <n v="4.2284040786083867E-2"/>
    <n v="9.5431801950923187"/>
  </r>
  <r>
    <x v="1"/>
    <n v="32"/>
    <x v="11"/>
    <s v="Sunday"/>
    <n v="379797.74709437607"/>
    <n v="16035.315224733002"/>
    <n v="21679.822400434467"/>
    <n v="1622.7900000000013"/>
    <n v="363762.43186964304"/>
    <n v="16.778847407087301"/>
    <n v="4.222066967856021E-2"/>
    <n v="13.359598223081512"/>
  </r>
  <r>
    <x v="1"/>
    <n v="46"/>
    <x v="11"/>
    <s v="Sunday"/>
    <n v="372517.10656412481"/>
    <n v="10152.539210151661"/>
    <n v="9421.8532431089516"/>
    <n v="1617.7199999999984"/>
    <n v="362364.56735397317"/>
    <n v="38.46000972462641"/>
    <n v="2.725388722089199E-2"/>
    <n v="5.8241557519898128"/>
  </r>
  <r>
    <x v="1"/>
    <n v="65"/>
    <x v="11"/>
    <s v="Sunday"/>
    <n v="566590.60676734161"/>
    <n v="12964.650360196216"/>
    <n v="15353.265701904937"/>
    <n v="2162.5800000000022"/>
    <n v="553625.95640714536"/>
    <n v="36.059165988279283"/>
    <n v="2.2881866034040826E-2"/>
    <n v="7.0995134061652845"/>
  </r>
  <r>
    <x v="0"/>
    <s v="Metro Vanpool"/>
    <x v="12"/>
    <s v="All Days"/>
    <n v="632074"/>
    <n v="338501"/>
    <n v="56594"/>
    <n v="16434"/>
    <n v="293573"/>
    <n v="5.1873520161147821"/>
    <n v="0.53554014245167492"/>
    <n v="3.44371425094316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E96996-4A9C-477D-94BB-19D93E90A60A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O9" firstHeaderRow="1" firstDataRow="2" firstDataCol="1"/>
  <pivotFields count="12">
    <pivotField axis="axisRow" showAll="0">
      <items count="7">
        <item x="2"/>
        <item x="1"/>
        <item x="0"/>
        <item x="4"/>
        <item x="5"/>
        <item x="3"/>
        <item t="default"/>
      </items>
    </pivotField>
    <pivotField showAll="0"/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dataField="1" showAll="0"/>
    <pivotField showAll="0"/>
    <pivotField showAll="0"/>
    <pivotField numFmtId="166" showAll="0"/>
    <pivotField showAll="0"/>
    <pivotField showAll="0"/>
    <pivotField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Fare Revenue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2-09-21T20:01:28.60" personId="{6C97B779-00E8-4E50-90E5-460C54A7E3FA}" id="{21C0A35F-7F2D-4B26-9F43-24EDC7C16205}">
    <text>Flex service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5" dT="2022-09-21T20:01:28.60" personId="{6C97B779-00E8-4E50-90E5-460C54A7E3FA}" id="{2DC2521E-E78B-4215-B100-E18620685283}">
    <text>Flex service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54E8-285E-41E3-B7D4-5676D09A427A}">
  <sheetPr>
    <pageSetUpPr fitToPage="1"/>
  </sheetPr>
  <dimension ref="A1:Q83"/>
  <sheetViews>
    <sheetView topLeftCell="A28" workbookViewId="0">
      <selection activeCell="A4" sqref="A4"/>
    </sheetView>
  </sheetViews>
  <sheetFormatPr defaultRowHeight="15" x14ac:dyDescent="0.25"/>
  <cols>
    <col min="1" max="1" width="20.7109375" customWidth="1"/>
    <col min="2" max="2" width="10.7109375" customWidth="1"/>
    <col min="3" max="3" width="25.28515625" bestFit="1" customWidth="1"/>
    <col min="4" max="4" width="10.7109375" customWidth="1"/>
    <col min="5" max="5" width="12.85546875" customWidth="1"/>
    <col min="6" max="6" width="11.7109375" customWidth="1"/>
    <col min="7" max="7" width="12.7109375" bestFit="1" customWidth="1"/>
    <col min="8" max="10" width="11.7109375" customWidth="1"/>
    <col min="11" max="11" width="14.140625" customWidth="1"/>
    <col min="12" max="12" width="11.7109375" customWidth="1"/>
    <col min="13" max="13" width="40.7109375" customWidth="1"/>
    <col min="14" max="14" width="14.7109375" bestFit="1" customWidth="1"/>
    <col min="15" max="15" width="13.7109375" bestFit="1" customWidth="1"/>
  </cols>
  <sheetData>
    <row r="1" spans="1:17" ht="18.75" x14ac:dyDescent="0.3">
      <c r="A1" s="15" t="s">
        <v>0</v>
      </c>
    </row>
    <row r="2" spans="1:17" ht="46.5" x14ac:dyDescent="0.7">
      <c r="A2" s="118" t="s">
        <v>58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7" ht="15" customHeight="1" thickBot="1" x14ac:dyDescent="0.75">
      <c r="A3" s="56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ht="48.75" thickBot="1" x14ac:dyDescent="0.3">
      <c r="A4" s="17" t="s">
        <v>2</v>
      </c>
      <c r="B4" s="18" t="s">
        <v>3</v>
      </c>
      <c r="C4" s="19" t="s">
        <v>4</v>
      </c>
      <c r="D4" s="19" t="s">
        <v>5</v>
      </c>
      <c r="E4" s="20" t="s">
        <v>6</v>
      </c>
      <c r="F4" s="71" t="s">
        <v>7</v>
      </c>
      <c r="G4" s="20" t="s">
        <v>8</v>
      </c>
      <c r="H4" s="21" t="s">
        <v>9</v>
      </c>
      <c r="I4" s="21" t="s">
        <v>10</v>
      </c>
      <c r="J4" s="22" t="s">
        <v>11</v>
      </c>
      <c r="K4" s="23" t="s">
        <v>12</v>
      </c>
      <c r="L4" s="23" t="s">
        <v>13</v>
      </c>
      <c r="M4" s="16" t="s">
        <v>90</v>
      </c>
    </row>
    <row r="5" spans="1:17" x14ac:dyDescent="0.25">
      <c r="A5" t="s">
        <v>15</v>
      </c>
      <c r="B5" s="4">
        <v>664</v>
      </c>
      <c r="C5" t="s">
        <v>56</v>
      </c>
      <c r="D5" s="4" t="s">
        <v>14</v>
      </c>
      <c r="E5" s="5">
        <v>129667.88745234985</v>
      </c>
      <c r="F5" s="5">
        <v>4807.2340000000013</v>
      </c>
      <c r="G5" s="5">
        <f t="shared" ref="G5:G36" si="0">E5-F5</f>
        <v>124860.65345234986</v>
      </c>
      <c r="H5" s="6">
        <v>2042</v>
      </c>
      <c r="I5" s="79">
        <v>423</v>
      </c>
      <c r="J5" s="5">
        <f t="shared" ref="J5:J36" si="1">G5/H5</f>
        <v>61.146255363540575</v>
      </c>
      <c r="K5" s="25">
        <f t="shared" ref="K5:K36" si="2">J5/$G$77</f>
        <v>0.66875075084407731</v>
      </c>
      <c r="L5" s="8">
        <f t="shared" ref="L5:L36" si="3">H5/I5</f>
        <v>4.8274231678486998</v>
      </c>
      <c r="M5" s="26"/>
    </row>
    <row r="6" spans="1:17" x14ac:dyDescent="0.25">
      <c r="A6" t="s">
        <v>15</v>
      </c>
      <c r="B6" s="4">
        <v>670</v>
      </c>
      <c r="C6" t="s">
        <v>56</v>
      </c>
      <c r="D6" s="4" t="s">
        <v>14</v>
      </c>
      <c r="E6" s="5">
        <v>173723.89499640124</v>
      </c>
      <c r="F6" s="5">
        <v>5010.2140000000009</v>
      </c>
      <c r="G6" s="5">
        <f t="shared" si="0"/>
        <v>168713.68099640124</v>
      </c>
      <c r="H6" s="6">
        <v>2251</v>
      </c>
      <c r="I6" s="79">
        <v>564</v>
      </c>
      <c r="J6" s="5">
        <f t="shared" si="1"/>
        <v>74.950546866459902</v>
      </c>
      <c r="K6" s="25">
        <f t="shared" si="2"/>
        <v>0.81972696766327313</v>
      </c>
      <c r="L6" s="8">
        <f t="shared" si="3"/>
        <v>3.9911347517730498</v>
      </c>
      <c r="M6" s="26"/>
    </row>
    <row r="7" spans="1:17" x14ac:dyDescent="0.25">
      <c r="A7" t="s">
        <v>73</v>
      </c>
      <c r="B7" s="4">
        <v>781</v>
      </c>
      <c r="C7" t="s">
        <v>56</v>
      </c>
      <c r="D7" s="4" t="s">
        <v>14</v>
      </c>
      <c r="E7" s="5">
        <v>1587718.7782076411</v>
      </c>
      <c r="F7" s="5">
        <v>171270.45890944201</v>
      </c>
      <c r="G7" s="5">
        <f t="shared" si="0"/>
        <v>1416448.3192981991</v>
      </c>
      <c r="H7" s="6">
        <v>62239</v>
      </c>
      <c r="I7" s="79">
        <v>5865.6</v>
      </c>
      <c r="J7" s="5">
        <f t="shared" si="1"/>
        <v>22.758211399575814</v>
      </c>
      <c r="K7" s="25">
        <f t="shared" si="2"/>
        <v>0.24890438295604078</v>
      </c>
      <c r="L7" s="8">
        <f t="shared" si="3"/>
        <v>10.610849699945444</v>
      </c>
      <c r="M7" s="26"/>
    </row>
    <row r="8" spans="1:17" x14ac:dyDescent="0.25">
      <c r="A8" t="s">
        <v>73</v>
      </c>
      <c r="B8" s="4">
        <v>785</v>
      </c>
      <c r="C8" t="s">
        <v>56</v>
      </c>
      <c r="D8" s="4" t="s">
        <v>14</v>
      </c>
      <c r="E8" s="5">
        <v>125254.24895964775</v>
      </c>
      <c r="F8" s="5">
        <v>13511.430987730555</v>
      </c>
      <c r="G8" s="5">
        <f t="shared" si="0"/>
        <v>111742.8179719172</v>
      </c>
      <c r="H8" s="6">
        <v>4910</v>
      </c>
      <c r="I8" s="79">
        <v>643.4</v>
      </c>
      <c r="J8" s="5">
        <f t="shared" si="1"/>
        <v>22.758211399575806</v>
      </c>
      <c r="K8" s="25">
        <f t="shared" si="2"/>
        <v>0.2489043829560407</v>
      </c>
      <c r="L8" s="8">
        <f t="shared" si="3"/>
        <v>7.6313335405657448</v>
      </c>
      <c r="M8" s="26"/>
    </row>
    <row r="9" spans="1:17" x14ac:dyDescent="0.25">
      <c r="A9" t="s">
        <v>73</v>
      </c>
      <c r="B9" s="4">
        <v>789</v>
      </c>
      <c r="C9" t="s">
        <v>56</v>
      </c>
      <c r="D9" s="4" t="s">
        <v>14</v>
      </c>
      <c r="E9" s="5">
        <v>187371.17283271137</v>
      </c>
      <c r="F9" s="5">
        <v>20212.110102827071</v>
      </c>
      <c r="G9" s="5">
        <f t="shared" si="0"/>
        <v>167159.06272988429</v>
      </c>
      <c r="H9" s="6">
        <v>7345</v>
      </c>
      <c r="I9" s="79">
        <v>342.09999999999997</v>
      </c>
      <c r="J9" s="5">
        <f t="shared" si="1"/>
        <v>22.758211399575806</v>
      </c>
      <c r="K9" s="25">
        <f t="shared" si="2"/>
        <v>0.2489043829560407</v>
      </c>
      <c r="L9" s="8">
        <f t="shared" si="3"/>
        <v>21.470330312774045</v>
      </c>
      <c r="M9" s="26"/>
    </row>
    <row r="10" spans="1:17" x14ac:dyDescent="0.25">
      <c r="A10" t="s">
        <v>19</v>
      </c>
      <c r="B10" s="4">
        <v>690</v>
      </c>
      <c r="C10" t="s">
        <v>56</v>
      </c>
      <c r="D10" s="4" t="s">
        <v>14</v>
      </c>
      <c r="E10" s="5">
        <v>1888147</v>
      </c>
      <c r="F10" s="5">
        <f>53536+1838</f>
        <v>55374</v>
      </c>
      <c r="G10" s="5">
        <f t="shared" si="0"/>
        <v>1832773</v>
      </c>
      <c r="H10" s="6">
        <v>18728</v>
      </c>
      <c r="I10" s="79">
        <v>3107.16</v>
      </c>
      <c r="J10" s="5">
        <f t="shared" si="1"/>
        <v>97.862718923536946</v>
      </c>
      <c r="K10" s="25">
        <f t="shared" si="2"/>
        <v>1.0703152036155807</v>
      </c>
      <c r="L10" s="8">
        <f t="shared" si="3"/>
        <v>6.0273690444006744</v>
      </c>
      <c r="M10" s="27"/>
      <c r="N10" s="10"/>
      <c r="O10" s="10"/>
      <c r="P10" s="10"/>
      <c r="Q10" s="10"/>
    </row>
    <row r="11" spans="1:17" x14ac:dyDescent="0.25">
      <c r="A11" t="s">
        <v>19</v>
      </c>
      <c r="B11" s="4">
        <v>695</v>
      </c>
      <c r="C11" t="s">
        <v>56</v>
      </c>
      <c r="D11" s="4" t="s">
        <v>14</v>
      </c>
      <c r="E11" s="5">
        <v>589259</v>
      </c>
      <c r="F11" s="5">
        <v>29615</v>
      </c>
      <c r="G11" s="5">
        <f t="shared" si="0"/>
        <v>559644</v>
      </c>
      <c r="H11" s="6">
        <v>10199</v>
      </c>
      <c r="I11" s="79">
        <v>739.52</v>
      </c>
      <c r="J11" s="5">
        <f t="shared" si="1"/>
        <v>54.87243847436023</v>
      </c>
      <c r="K11" s="25">
        <f t="shared" si="2"/>
        <v>0.60013461514855748</v>
      </c>
      <c r="L11" s="8">
        <f t="shared" si="3"/>
        <v>13.791378191259195</v>
      </c>
      <c r="M11" s="26"/>
      <c r="N11" s="11"/>
      <c r="O11" s="12"/>
      <c r="P11" s="11"/>
      <c r="Q11" s="13"/>
    </row>
    <row r="12" spans="1:17" x14ac:dyDescent="0.25">
      <c r="A12" t="s">
        <v>19</v>
      </c>
      <c r="B12" s="4">
        <v>698</v>
      </c>
      <c r="C12" t="s">
        <v>56</v>
      </c>
      <c r="D12" s="4" t="s">
        <v>14</v>
      </c>
      <c r="E12" s="5">
        <v>3831365</v>
      </c>
      <c r="F12" s="5">
        <v>129699</v>
      </c>
      <c r="G12" s="5">
        <f t="shared" si="0"/>
        <v>3701666</v>
      </c>
      <c r="H12" s="6">
        <v>48627</v>
      </c>
      <c r="I12" s="79">
        <v>6345.35</v>
      </c>
      <c r="J12" s="5">
        <f t="shared" si="1"/>
        <v>76.12367614699653</v>
      </c>
      <c r="K12" s="25">
        <f t="shared" si="2"/>
        <v>0.83255737048241019</v>
      </c>
      <c r="L12" s="8">
        <f t="shared" si="3"/>
        <v>7.6634070618641994</v>
      </c>
      <c r="M12" s="26"/>
      <c r="N12" s="5"/>
      <c r="O12" s="14"/>
      <c r="P12" s="11"/>
      <c r="Q12" s="13"/>
    </row>
    <row r="13" spans="1:17" x14ac:dyDescent="0.25">
      <c r="A13" t="s">
        <v>19</v>
      </c>
      <c r="B13" s="4">
        <v>699</v>
      </c>
      <c r="C13" t="s">
        <v>56</v>
      </c>
      <c r="D13" s="4" t="s">
        <v>14</v>
      </c>
      <c r="E13" s="5">
        <v>254402</v>
      </c>
      <c r="F13" s="5">
        <v>8544</v>
      </c>
      <c r="G13" s="5">
        <f t="shared" si="0"/>
        <v>245858</v>
      </c>
      <c r="H13" s="6">
        <v>2896</v>
      </c>
      <c r="I13" s="79">
        <v>427.72</v>
      </c>
      <c r="J13" s="5">
        <f t="shared" si="1"/>
        <v>84.895718232044203</v>
      </c>
      <c r="K13" s="25">
        <f t="shared" si="2"/>
        <v>0.92849635637670191</v>
      </c>
      <c r="L13" s="8">
        <f t="shared" si="3"/>
        <v>6.7707846254559056</v>
      </c>
      <c r="M13" s="26"/>
      <c r="P13" s="11"/>
    </row>
    <row r="14" spans="1:17" x14ac:dyDescent="0.25">
      <c r="A14" t="s">
        <v>19</v>
      </c>
      <c r="B14" s="4">
        <v>600</v>
      </c>
      <c r="C14" t="s">
        <v>56</v>
      </c>
      <c r="D14" s="4" t="s">
        <v>14</v>
      </c>
      <c r="E14" s="5">
        <v>368307</v>
      </c>
      <c r="F14" s="5">
        <v>12018</v>
      </c>
      <c r="G14" s="5">
        <f t="shared" si="0"/>
        <v>356289</v>
      </c>
      <c r="H14" s="6">
        <v>5079</v>
      </c>
      <c r="I14" s="79">
        <v>1123.27</v>
      </c>
      <c r="J14" s="5">
        <f t="shared" si="1"/>
        <v>70.149438865918484</v>
      </c>
      <c r="K14" s="25">
        <f t="shared" si="2"/>
        <v>0.76721770832831737</v>
      </c>
      <c r="L14" s="8">
        <f t="shared" si="3"/>
        <v>4.5216199132888795</v>
      </c>
      <c r="M14" s="26"/>
    </row>
    <row r="15" spans="1:17" x14ac:dyDescent="0.25">
      <c r="A15" t="s">
        <v>16</v>
      </c>
      <c r="B15" s="4">
        <v>460</v>
      </c>
      <c r="C15" t="s">
        <v>56</v>
      </c>
      <c r="D15" s="4" t="s">
        <v>14</v>
      </c>
      <c r="E15" s="5">
        <v>1104987.402830624</v>
      </c>
      <c r="F15" s="5">
        <v>108793.12223856467</v>
      </c>
      <c r="G15" s="5">
        <f t="shared" si="0"/>
        <v>996194.28059205937</v>
      </c>
      <c r="H15">
        <v>42831</v>
      </c>
      <c r="I15" s="79">
        <v>3882.1850000000004</v>
      </c>
      <c r="J15" s="5">
        <f t="shared" si="1"/>
        <v>23.258721033645241</v>
      </c>
      <c r="K15" s="25">
        <f t="shared" si="2"/>
        <v>0.25437840898753844</v>
      </c>
      <c r="L15" s="8">
        <f t="shared" si="3"/>
        <v>11.032704520778891</v>
      </c>
      <c r="M15" s="26"/>
    </row>
    <row r="16" spans="1:17" x14ac:dyDescent="0.25">
      <c r="A16" t="s">
        <v>16</v>
      </c>
      <c r="B16" s="4">
        <v>465</v>
      </c>
      <c r="C16" t="s">
        <v>56</v>
      </c>
      <c r="D16" s="4" t="s">
        <v>14</v>
      </c>
      <c r="E16" s="5">
        <v>1134832.9869398882</v>
      </c>
      <c r="F16" s="5">
        <v>118732.04747729002</v>
      </c>
      <c r="G16" s="5">
        <f t="shared" si="0"/>
        <v>1016100.9394625982</v>
      </c>
      <c r="H16">
        <v>49703</v>
      </c>
      <c r="I16" s="79">
        <v>5952.4390000000003</v>
      </c>
      <c r="J16" s="5">
        <f t="shared" si="1"/>
        <v>20.443452899474845</v>
      </c>
      <c r="K16" s="25">
        <f t="shared" si="2"/>
        <v>0.22358809047399533</v>
      </c>
      <c r="L16" s="8">
        <f t="shared" si="3"/>
        <v>8.3500225705798918</v>
      </c>
      <c r="M16" s="26"/>
    </row>
    <row r="17" spans="1:13" x14ac:dyDescent="0.25">
      <c r="A17" t="s">
        <v>16</v>
      </c>
      <c r="B17" s="4">
        <v>470</v>
      </c>
      <c r="C17" t="s">
        <v>56</v>
      </c>
      <c r="D17" s="4" t="s">
        <v>14</v>
      </c>
      <c r="E17" s="5">
        <v>447054.89885470527</v>
      </c>
      <c r="F17" s="5">
        <v>20580.57203049388</v>
      </c>
      <c r="G17" s="5">
        <f t="shared" si="0"/>
        <v>426474.3268242114</v>
      </c>
      <c r="H17">
        <v>7896</v>
      </c>
      <c r="I17" s="79">
        <v>1804.6890000000003</v>
      </c>
      <c r="J17" s="5">
        <f t="shared" si="1"/>
        <v>54.011439567402661</v>
      </c>
      <c r="K17" s="25">
        <f t="shared" si="2"/>
        <v>0.5907179523933247</v>
      </c>
      <c r="L17" s="8">
        <f t="shared" si="3"/>
        <v>4.3752690906854301</v>
      </c>
      <c r="M17" s="26"/>
    </row>
    <row r="18" spans="1:13" x14ac:dyDescent="0.25">
      <c r="A18" t="s">
        <v>16</v>
      </c>
      <c r="B18" s="4">
        <v>472</v>
      </c>
      <c r="C18" t="s">
        <v>56</v>
      </c>
      <c r="D18" s="4" t="s">
        <v>14</v>
      </c>
      <c r="E18" s="5">
        <v>163340.39452893048</v>
      </c>
      <c r="F18" s="5">
        <v>8310.77242133236</v>
      </c>
      <c r="G18" s="5">
        <f t="shared" si="0"/>
        <v>155029.62210759812</v>
      </c>
      <c r="H18">
        <v>2715</v>
      </c>
      <c r="I18" s="79">
        <v>602.46600000000012</v>
      </c>
      <c r="J18" s="5">
        <f t="shared" si="1"/>
        <v>57.101149947549949</v>
      </c>
      <c r="K18" s="25">
        <f t="shared" si="2"/>
        <v>0.6245098195212383</v>
      </c>
      <c r="L18" s="8">
        <f t="shared" si="3"/>
        <v>4.5064783738833389</v>
      </c>
      <c r="M18" s="26"/>
    </row>
    <row r="19" spans="1:13" x14ac:dyDescent="0.25">
      <c r="A19" t="s">
        <v>16</v>
      </c>
      <c r="B19" s="4">
        <v>475</v>
      </c>
      <c r="C19" t="s">
        <v>56</v>
      </c>
      <c r="D19" s="4" t="s">
        <v>14</v>
      </c>
      <c r="E19" s="5">
        <v>781966.80129379337</v>
      </c>
      <c r="F19" s="5">
        <v>52648.343193993482</v>
      </c>
      <c r="G19" s="5">
        <f t="shared" si="0"/>
        <v>729318.45809979993</v>
      </c>
      <c r="H19">
        <v>20902</v>
      </c>
      <c r="I19" s="79">
        <v>3492.2180000000008</v>
      </c>
      <c r="J19" s="5">
        <f t="shared" si="1"/>
        <v>34.892281030513821</v>
      </c>
      <c r="K19" s="25">
        <f t="shared" si="2"/>
        <v>0.38161354279320409</v>
      </c>
      <c r="L19" s="8">
        <f t="shared" si="3"/>
        <v>5.9853079046038919</v>
      </c>
      <c r="M19" s="26"/>
    </row>
    <row r="20" spans="1:13" x14ac:dyDescent="0.25">
      <c r="A20" t="s">
        <v>16</v>
      </c>
      <c r="B20" s="4">
        <v>476</v>
      </c>
      <c r="C20" t="s">
        <v>56</v>
      </c>
      <c r="D20" s="4" t="s">
        <v>14</v>
      </c>
      <c r="E20" s="5">
        <v>210553.47082774024</v>
      </c>
      <c r="F20" s="5">
        <v>5812.9062840476599</v>
      </c>
      <c r="G20" s="5">
        <f t="shared" si="0"/>
        <v>204740.56454369257</v>
      </c>
      <c r="H20">
        <v>1906</v>
      </c>
      <c r="I20" s="79">
        <v>842.00699999999995</v>
      </c>
      <c r="J20" s="5">
        <f t="shared" si="1"/>
        <v>107.41897405230461</v>
      </c>
      <c r="K20" s="25">
        <f t="shared" si="2"/>
        <v>1.1748310526177017</v>
      </c>
      <c r="L20" s="8">
        <f t="shared" si="3"/>
        <v>2.2636391383919614</v>
      </c>
      <c r="M20" s="26"/>
    </row>
    <row r="21" spans="1:13" x14ac:dyDescent="0.25">
      <c r="A21" t="s">
        <v>16</v>
      </c>
      <c r="B21" s="4">
        <v>477</v>
      </c>
      <c r="C21" t="s">
        <v>56</v>
      </c>
      <c r="D21" s="4" t="s">
        <v>14</v>
      </c>
      <c r="E21" s="5">
        <v>1112087.6978755447</v>
      </c>
      <c r="F21" s="5">
        <v>87383.159281312634</v>
      </c>
      <c r="G21" s="5">
        <f t="shared" si="0"/>
        <v>1024704.5385942321</v>
      </c>
      <c r="H21">
        <v>34722</v>
      </c>
      <c r="I21" s="79">
        <v>4492.0609999999997</v>
      </c>
      <c r="J21" s="5">
        <f t="shared" si="1"/>
        <v>29.511679586263234</v>
      </c>
      <c r="K21" s="25">
        <f t="shared" si="2"/>
        <v>0.322766419049616</v>
      </c>
      <c r="L21" s="8">
        <f t="shared" si="3"/>
        <v>7.7296367970069868</v>
      </c>
      <c r="M21" s="26"/>
    </row>
    <row r="22" spans="1:13" x14ac:dyDescent="0.25">
      <c r="A22" t="s">
        <v>16</v>
      </c>
      <c r="B22" s="4">
        <v>478</v>
      </c>
      <c r="C22" t="s">
        <v>56</v>
      </c>
      <c r="D22" s="4" t="s">
        <v>14</v>
      </c>
      <c r="E22" s="5">
        <v>67845.112689163056</v>
      </c>
      <c r="F22" s="5">
        <v>1923.6698173167395</v>
      </c>
      <c r="G22" s="5">
        <f t="shared" si="0"/>
        <v>65921.442871846317</v>
      </c>
      <c r="H22">
        <v>597</v>
      </c>
      <c r="I22" s="79">
        <v>303.90800000000002</v>
      </c>
      <c r="J22" s="5">
        <f t="shared" si="1"/>
        <v>110.42117733977608</v>
      </c>
      <c r="K22" s="25">
        <f t="shared" si="2"/>
        <v>1.2076658630365298</v>
      </c>
      <c r="L22" s="8">
        <f t="shared" si="3"/>
        <v>1.9644102820590441</v>
      </c>
      <c r="M22" s="26"/>
    </row>
    <row r="23" spans="1:13" x14ac:dyDescent="0.25">
      <c r="A23" t="s">
        <v>16</v>
      </c>
      <c r="B23" s="4">
        <v>480</v>
      </c>
      <c r="C23" t="s">
        <v>56</v>
      </c>
      <c r="D23" s="4" t="s">
        <v>14</v>
      </c>
      <c r="E23" s="5">
        <v>421491.12789314566</v>
      </c>
      <c r="F23" s="5">
        <v>24030.413645158442</v>
      </c>
      <c r="G23" s="5">
        <f t="shared" si="0"/>
        <v>397460.7142479872</v>
      </c>
      <c r="H23">
        <v>9015</v>
      </c>
      <c r="I23" s="79">
        <v>1762.9939999999999</v>
      </c>
      <c r="J23" s="5">
        <f t="shared" si="1"/>
        <v>44.088820216082887</v>
      </c>
      <c r="K23" s="25">
        <f t="shared" si="2"/>
        <v>0.48219521290449335</v>
      </c>
      <c r="L23" s="8">
        <f t="shared" si="3"/>
        <v>5.1134603974829185</v>
      </c>
      <c r="M23" s="26"/>
    </row>
    <row r="24" spans="1:13" x14ac:dyDescent="0.25">
      <c r="A24" t="s">
        <v>16</v>
      </c>
      <c r="B24" s="4">
        <v>484</v>
      </c>
      <c r="C24" t="s">
        <v>56</v>
      </c>
      <c r="D24" s="4" t="s">
        <v>14</v>
      </c>
      <c r="E24" s="5">
        <v>190920.04072390965</v>
      </c>
      <c r="F24" s="5">
        <v>3070.877373234453</v>
      </c>
      <c r="G24" s="5">
        <f t="shared" si="0"/>
        <v>187849.1633506752</v>
      </c>
      <c r="H24">
        <v>1287</v>
      </c>
      <c r="I24" s="79">
        <v>643.12800000000004</v>
      </c>
      <c r="J24" s="5">
        <f t="shared" si="1"/>
        <v>145.95894588242052</v>
      </c>
      <c r="K24" s="25">
        <f t="shared" si="2"/>
        <v>1.596339041057294</v>
      </c>
      <c r="L24" s="8">
        <f t="shared" si="3"/>
        <v>2.0011568459155873</v>
      </c>
      <c r="M24" s="26"/>
    </row>
    <row r="25" spans="1:13" x14ac:dyDescent="0.25">
      <c r="A25" t="s">
        <v>16</v>
      </c>
      <c r="B25" s="4">
        <v>490</v>
      </c>
      <c r="C25" t="s">
        <v>56</v>
      </c>
      <c r="D25" s="4" t="s">
        <v>14</v>
      </c>
      <c r="E25" s="5">
        <v>431953.25252976618</v>
      </c>
      <c r="F25" s="5">
        <v>17173.300329093414</v>
      </c>
      <c r="G25" s="5">
        <f t="shared" si="0"/>
        <v>414779.95220067276</v>
      </c>
      <c r="H25">
        <v>6823</v>
      </c>
      <c r="I25" s="79">
        <v>1830.3250000000003</v>
      </c>
      <c r="J25" s="5">
        <f t="shared" si="1"/>
        <v>60.791433709610544</v>
      </c>
      <c r="K25" s="25">
        <f t="shared" si="2"/>
        <v>0.66487010032720317</v>
      </c>
      <c r="L25" s="8">
        <f t="shared" si="3"/>
        <v>3.7277532678622642</v>
      </c>
      <c r="M25" s="26"/>
    </row>
    <row r="26" spans="1:13" x14ac:dyDescent="0.25">
      <c r="A26" t="s">
        <v>16</v>
      </c>
      <c r="B26" s="4">
        <v>493</v>
      </c>
      <c r="C26" t="s">
        <v>56</v>
      </c>
      <c r="D26" s="4" t="s">
        <v>14</v>
      </c>
      <c r="E26" s="5">
        <v>320926.93157392315</v>
      </c>
      <c r="F26" s="5">
        <v>11680.914527994653</v>
      </c>
      <c r="G26" s="5">
        <f t="shared" si="0"/>
        <v>309246.01704592851</v>
      </c>
      <c r="H26">
        <v>4573</v>
      </c>
      <c r="I26" s="79">
        <v>1184.7809999999999</v>
      </c>
      <c r="J26" s="5">
        <f t="shared" si="1"/>
        <v>67.624320368670126</v>
      </c>
      <c r="K26" s="25">
        <f t="shared" si="2"/>
        <v>0.73960072866267457</v>
      </c>
      <c r="L26" s="8">
        <f t="shared" si="3"/>
        <v>3.8597850573228305</v>
      </c>
      <c r="M26" s="26"/>
    </row>
    <row r="27" spans="1:13" x14ac:dyDescent="0.25">
      <c r="A27" t="s">
        <v>16</v>
      </c>
      <c r="B27" s="4">
        <v>495</v>
      </c>
      <c r="C27" t="s">
        <v>56</v>
      </c>
      <c r="D27" s="4" t="s">
        <v>14</v>
      </c>
      <c r="E27" s="5">
        <v>1253768.7172591386</v>
      </c>
      <c r="F27" s="5">
        <v>80565.475235671634</v>
      </c>
      <c r="G27" s="5">
        <f t="shared" si="0"/>
        <v>1173203.2420234669</v>
      </c>
      <c r="H27">
        <v>54795</v>
      </c>
      <c r="I27" s="79">
        <v>7305.2940000000017</v>
      </c>
      <c r="J27" s="5">
        <f t="shared" si="1"/>
        <v>21.410771822674821</v>
      </c>
      <c r="K27" s="25">
        <f t="shared" si="2"/>
        <v>0.23416756508531208</v>
      </c>
      <c r="L27" s="8">
        <f t="shared" si="3"/>
        <v>7.5007248168246186</v>
      </c>
      <c r="M27" s="26"/>
    </row>
    <row r="28" spans="1:13" x14ac:dyDescent="0.25">
      <c r="A28" t="s">
        <v>16</v>
      </c>
      <c r="B28" s="4">
        <v>498</v>
      </c>
      <c r="C28" t="s">
        <v>56</v>
      </c>
      <c r="D28" s="4" t="s">
        <v>14</v>
      </c>
      <c r="E28" s="5">
        <v>218923.32187297498</v>
      </c>
      <c r="F28" s="5">
        <v>243.05455032867675</v>
      </c>
      <c r="G28" s="5">
        <f t="shared" si="0"/>
        <v>218680.26732264631</v>
      </c>
      <c r="H28">
        <v>67</v>
      </c>
      <c r="I28" s="79">
        <v>908.76999999999987</v>
      </c>
      <c r="J28" s="5">
        <f t="shared" si="1"/>
        <v>3263.8845869051688</v>
      </c>
      <c r="K28" s="25">
        <f t="shared" si="2"/>
        <v>35.696793780485983</v>
      </c>
      <c r="L28" s="8">
        <f t="shared" si="3"/>
        <v>7.3726025286926289E-2</v>
      </c>
      <c r="M28" s="26"/>
    </row>
    <row r="29" spans="1:13" x14ac:dyDescent="0.25">
      <c r="A29" t="s">
        <v>16</v>
      </c>
      <c r="B29" s="4">
        <v>495</v>
      </c>
      <c r="C29" t="s">
        <v>56</v>
      </c>
      <c r="D29" s="4" t="s">
        <v>17</v>
      </c>
      <c r="E29" s="5">
        <v>277853.14507306245</v>
      </c>
      <c r="F29" s="5">
        <v>13941.371102855808</v>
      </c>
      <c r="G29" s="5">
        <f t="shared" si="0"/>
        <v>263911.77397020662</v>
      </c>
      <c r="H29">
        <v>10486</v>
      </c>
      <c r="I29" s="79">
        <v>1515.5350000000003</v>
      </c>
      <c r="J29" s="5">
        <f t="shared" si="1"/>
        <v>25.168012013180107</v>
      </c>
      <c r="K29" s="25">
        <f t="shared" si="2"/>
        <v>0.27526014194980092</v>
      </c>
      <c r="L29" s="8">
        <f t="shared" si="3"/>
        <v>6.919008798873004</v>
      </c>
      <c r="M29" s="26"/>
    </row>
    <row r="30" spans="1:13" x14ac:dyDescent="0.25">
      <c r="A30" t="s">
        <v>16</v>
      </c>
      <c r="B30" s="4">
        <v>495</v>
      </c>
      <c r="C30" t="s">
        <v>56</v>
      </c>
      <c r="D30" s="4" t="s">
        <v>18</v>
      </c>
      <c r="E30" s="5">
        <v>303977.26685576979</v>
      </c>
      <c r="F30" s="5">
        <v>12924.441426274687</v>
      </c>
      <c r="G30" s="5">
        <f t="shared" si="0"/>
        <v>291052.82542949507</v>
      </c>
      <c r="H30">
        <v>11492</v>
      </c>
      <c r="I30" s="79">
        <v>1658.5100000000004</v>
      </c>
      <c r="J30" s="5">
        <f t="shared" si="1"/>
        <v>25.326559818090416</v>
      </c>
      <c r="K30" s="25">
        <f t="shared" si="2"/>
        <v>0.27699416413886324</v>
      </c>
      <c r="L30" s="8">
        <f t="shared" si="3"/>
        <v>6.9291110695744953</v>
      </c>
      <c r="M30" s="26"/>
    </row>
    <row r="31" spans="1:13" x14ac:dyDescent="0.25">
      <c r="A31" t="s">
        <v>79</v>
      </c>
      <c r="B31" s="4">
        <v>94</v>
      </c>
      <c r="C31" t="str">
        <f>VLOOKUP(B31,'[1]Route types'!A:B,2,FALSE)</f>
        <v>Commuter &amp; Express Bus</v>
      </c>
      <c r="D31" s="4" t="s">
        <v>14</v>
      </c>
      <c r="E31" s="5">
        <v>2730500.3970560953</v>
      </c>
      <c r="F31" s="5">
        <v>224370.81678633014</v>
      </c>
      <c r="G31" s="5">
        <f t="shared" si="0"/>
        <v>2506129.5802697651</v>
      </c>
      <c r="H31" s="6">
        <v>138245.24869043336</v>
      </c>
      <c r="I31" s="79">
        <v>10905.080000000042</v>
      </c>
      <c r="J31" s="5">
        <f t="shared" si="1"/>
        <v>18.128142587248213</v>
      </c>
      <c r="K31" s="25">
        <f t="shared" si="2"/>
        <v>0.19826576287547107</v>
      </c>
      <c r="L31" s="8">
        <f t="shared" si="3"/>
        <v>12.677142092532364</v>
      </c>
      <c r="M31" s="26"/>
    </row>
    <row r="32" spans="1:13" x14ac:dyDescent="0.25">
      <c r="A32" t="s">
        <v>79</v>
      </c>
      <c r="B32" s="4">
        <v>113</v>
      </c>
      <c r="C32" t="str">
        <f>VLOOKUP(B32,'[1]Route types'!A:B,2,FALSE)</f>
        <v>Commuter &amp; Express Bus</v>
      </c>
      <c r="D32" s="4" t="s">
        <v>14</v>
      </c>
      <c r="E32" s="5">
        <v>239506.72633074419</v>
      </c>
      <c r="F32" s="5">
        <v>18351.881649884101</v>
      </c>
      <c r="G32" s="5">
        <f t="shared" si="0"/>
        <v>221154.84468086009</v>
      </c>
      <c r="H32" s="6">
        <v>12097.574586896038</v>
      </c>
      <c r="I32" s="79">
        <v>796.54999999999961</v>
      </c>
      <c r="J32" s="5">
        <f t="shared" si="1"/>
        <v>18.280924254057719</v>
      </c>
      <c r="K32" s="25">
        <f t="shared" si="2"/>
        <v>0.19993672136322485</v>
      </c>
      <c r="L32" s="8">
        <f t="shared" si="3"/>
        <v>15.187464172865537</v>
      </c>
      <c r="M32" s="26"/>
    </row>
    <row r="33" spans="1:13" x14ac:dyDescent="0.25">
      <c r="A33" t="s">
        <v>79</v>
      </c>
      <c r="B33" s="4">
        <v>114</v>
      </c>
      <c r="C33" t="str">
        <f>VLOOKUP(B33,'[1]Route types'!A:B,2,FALSE)</f>
        <v>Commuter &amp; Express Bus</v>
      </c>
      <c r="D33" s="4" t="s">
        <v>14</v>
      </c>
      <c r="E33" s="5">
        <v>279218.86473209638</v>
      </c>
      <c r="F33" s="5">
        <v>23124.758046361389</v>
      </c>
      <c r="G33" s="5">
        <f t="shared" si="0"/>
        <v>256094.10668573499</v>
      </c>
      <c r="H33" s="6">
        <v>16015.026081888802</v>
      </c>
      <c r="I33" s="79">
        <v>783.68000000000075</v>
      </c>
      <c r="J33" s="5">
        <f t="shared" si="1"/>
        <v>15.990864165706773</v>
      </c>
      <c r="K33" s="25">
        <f t="shared" si="2"/>
        <v>0.1748905530499332</v>
      </c>
      <c r="L33" s="8">
        <f t="shared" si="3"/>
        <v>20.435670275991203</v>
      </c>
      <c r="M33" s="26"/>
    </row>
    <row r="34" spans="1:13" x14ac:dyDescent="0.25">
      <c r="A34" t="s">
        <v>79</v>
      </c>
      <c r="B34" s="4">
        <v>134</v>
      </c>
      <c r="C34" t="str">
        <f>VLOOKUP(B34,'[1]Route types'!A:B,2,FALSE)</f>
        <v>Commuter &amp; Express Bus</v>
      </c>
      <c r="D34" s="4" t="s">
        <v>14</v>
      </c>
      <c r="E34" s="5">
        <v>199149.82003347919</v>
      </c>
      <c r="F34" s="5">
        <v>40589.223462748712</v>
      </c>
      <c r="G34" s="5">
        <f t="shared" si="0"/>
        <v>158560.59657073047</v>
      </c>
      <c r="H34" s="6">
        <v>10012.445171312851</v>
      </c>
      <c r="I34" s="79">
        <v>604.34999999999991</v>
      </c>
      <c r="J34" s="5">
        <f t="shared" si="1"/>
        <v>15.836351046898137</v>
      </c>
      <c r="K34" s="25">
        <f t="shared" si="2"/>
        <v>0.17320065783714886</v>
      </c>
      <c r="L34" s="8">
        <f t="shared" si="3"/>
        <v>16.567295724849593</v>
      </c>
      <c r="M34" s="26"/>
    </row>
    <row r="35" spans="1:13" x14ac:dyDescent="0.25">
      <c r="A35" t="s">
        <v>79</v>
      </c>
      <c r="B35" s="4">
        <v>250</v>
      </c>
      <c r="C35" t="str">
        <f>VLOOKUP(B35,'[1]Route types'!A:B,2,FALSE)</f>
        <v>Commuter &amp; Express Bus</v>
      </c>
      <c r="D35" s="4" t="s">
        <v>14</v>
      </c>
      <c r="E35" s="5">
        <v>989718.72022719646</v>
      </c>
      <c r="F35" s="5">
        <v>253400.32758178041</v>
      </c>
      <c r="G35" s="5">
        <f t="shared" si="0"/>
        <v>736318.39264541608</v>
      </c>
      <c r="H35" s="6">
        <v>42654.333577258527</v>
      </c>
      <c r="I35" s="79">
        <v>3206.1399999999912</v>
      </c>
      <c r="J35" s="5">
        <f t="shared" si="1"/>
        <v>17.262452156514048</v>
      </c>
      <c r="K35" s="25">
        <f t="shared" si="2"/>
        <v>0.18879778937308711</v>
      </c>
      <c r="L35" s="8">
        <f t="shared" si="3"/>
        <v>13.303952284447542</v>
      </c>
      <c r="M35" s="26"/>
    </row>
    <row r="36" spans="1:13" x14ac:dyDescent="0.25">
      <c r="A36" t="s">
        <v>79</v>
      </c>
      <c r="B36" s="4">
        <v>252</v>
      </c>
      <c r="C36" t="str">
        <f>VLOOKUP(B36,'[1]Route types'!A:B,2,FALSE)</f>
        <v>Commuter &amp; Express Bus</v>
      </c>
      <c r="D36" s="4" t="s">
        <v>14</v>
      </c>
      <c r="E36" s="5">
        <v>79054.435319259894</v>
      </c>
      <c r="F36" s="5">
        <v>11586.028440570837</v>
      </c>
      <c r="G36" s="5">
        <f t="shared" si="0"/>
        <v>67468.406878689057</v>
      </c>
      <c r="H36" s="6">
        <v>7004.2503139865194</v>
      </c>
      <c r="I36" s="79">
        <v>205.94999999999962</v>
      </c>
      <c r="J36" s="5">
        <f t="shared" si="1"/>
        <v>9.6324951071442975</v>
      </c>
      <c r="K36" s="25">
        <f t="shared" si="2"/>
        <v>0.10534967835897338</v>
      </c>
      <c r="L36" s="8">
        <f t="shared" si="3"/>
        <v>34.009469842129313</v>
      </c>
      <c r="M36" s="26"/>
    </row>
    <row r="37" spans="1:13" x14ac:dyDescent="0.25">
      <c r="A37" t="s">
        <v>79</v>
      </c>
      <c r="B37" s="4">
        <v>264</v>
      </c>
      <c r="C37" t="str">
        <f>VLOOKUP(B37,'[1]Route types'!A:B,2,FALSE)</f>
        <v>Commuter &amp; Express Bus</v>
      </c>
      <c r="D37" s="4" t="s">
        <v>14</v>
      </c>
      <c r="E37" s="5">
        <v>354748.35069146287</v>
      </c>
      <c r="F37" s="5">
        <v>55118.163542542912</v>
      </c>
      <c r="G37" s="5">
        <f t="shared" ref="G37:G68" si="4">E37-F37</f>
        <v>299630.18714891997</v>
      </c>
      <c r="H37" s="6">
        <v>9949.7744451185517</v>
      </c>
      <c r="I37" s="79">
        <v>1233.9200000000019</v>
      </c>
      <c r="J37" s="5">
        <f t="shared" ref="J37:J73" si="5">G37/H37</f>
        <v>30.114269303453529</v>
      </c>
      <c r="K37" s="25">
        <f t="shared" ref="K37:K56" si="6">J37/$G$77</f>
        <v>0.3293568851938799</v>
      </c>
      <c r="L37" s="8">
        <f t="shared" ref="L37:L73" si="7">H37/I37</f>
        <v>8.0635490510880263</v>
      </c>
      <c r="M37" s="26"/>
    </row>
    <row r="38" spans="1:13" x14ac:dyDescent="0.25">
      <c r="A38" t="s">
        <v>79</v>
      </c>
      <c r="B38" s="4">
        <v>270</v>
      </c>
      <c r="C38" t="str">
        <f>VLOOKUP(B38,'[1]Route types'!A:B,2,FALSE)</f>
        <v>Commuter &amp; Express Bus</v>
      </c>
      <c r="D38" s="4" t="s">
        <v>14</v>
      </c>
      <c r="E38" s="5">
        <v>834306.74677767162</v>
      </c>
      <c r="F38" s="5">
        <v>148096.79200123856</v>
      </c>
      <c r="G38" s="5">
        <f t="shared" si="4"/>
        <v>686209.95477643306</v>
      </c>
      <c r="H38" s="6">
        <v>24200.460252283116</v>
      </c>
      <c r="I38" s="79">
        <v>2604.6400000000099</v>
      </c>
      <c r="J38" s="5">
        <f t="shared" si="5"/>
        <v>28.3552439756469</v>
      </c>
      <c r="K38" s="25">
        <f t="shared" si="6"/>
        <v>0.31011859330289604</v>
      </c>
      <c r="L38" s="8">
        <f t="shared" si="7"/>
        <v>9.2912879523784575</v>
      </c>
      <c r="M38" s="26"/>
    </row>
    <row r="39" spans="1:13" x14ac:dyDescent="0.25">
      <c r="A39" t="s">
        <v>79</v>
      </c>
      <c r="B39" s="4">
        <v>275</v>
      </c>
      <c r="C39" t="str">
        <f>VLOOKUP(B39,'[1]Route types'!A:B,2,FALSE)</f>
        <v>Commuter &amp; Express Bus</v>
      </c>
      <c r="D39" s="4" t="s">
        <v>14</v>
      </c>
      <c r="E39" s="5">
        <v>121507.65551161423</v>
      </c>
      <c r="F39" s="5">
        <v>26710.095841033653</v>
      </c>
      <c r="G39" s="5">
        <f t="shared" si="4"/>
        <v>94797.55967058058</v>
      </c>
      <c r="H39" s="6">
        <v>4599.3939732425888</v>
      </c>
      <c r="I39" s="79">
        <v>362.69999999999931</v>
      </c>
      <c r="J39" s="5">
        <f t="shared" si="5"/>
        <v>20.610880525146221</v>
      </c>
      <c r="K39" s="25">
        <f t="shared" si="6"/>
        <v>0.22541923041403059</v>
      </c>
      <c r="L39" s="8">
        <f t="shared" si="7"/>
        <v>12.680986967859381</v>
      </c>
      <c r="M39" s="26"/>
    </row>
    <row r="40" spans="1:13" x14ac:dyDescent="0.25">
      <c r="A40" t="s">
        <v>79</v>
      </c>
      <c r="B40" s="4">
        <v>294</v>
      </c>
      <c r="C40" t="str">
        <f>VLOOKUP(B40,'[1]Route types'!A:B,2,FALSE)</f>
        <v>Commuter &amp; Express Bus</v>
      </c>
      <c r="D40" s="4" t="s">
        <v>14</v>
      </c>
      <c r="E40" s="5">
        <v>168593.71304744709</v>
      </c>
      <c r="F40" s="5">
        <v>24926.254072177177</v>
      </c>
      <c r="G40" s="5">
        <f t="shared" si="4"/>
        <v>143667.45897526992</v>
      </c>
      <c r="H40" s="6">
        <v>4704.5533273652254</v>
      </c>
      <c r="I40" s="79">
        <v>619.5199999999993</v>
      </c>
      <c r="J40" s="5">
        <f t="shared" si="5"/>
        <v>30.537959499702506</v>
      </c>
      <c r="K40" s="25">
        <f t="shared" si="6"/>
        <v>0.33399074437597015</v>
      </c>
      <c r="L40" s="8">
        <f t="shared" si="7"/>
        <v>7.5938683615786911</v>
      </c>
      <c r="M40" s="26"/>
    </row>
    <row r="41" spans="1:13" x14ac:dyDescent="0.25">
      <c r="A41" t="s">
        <v>79</v>
      </c>
      <c r="B41" s="4">
        <v>351</v>
      </c>
      <c r="C41" t="str">
        <f>VLOOKUP(B41,'[1]Route types'!A:B,2,FALSE)</f>
        <v>Commuter &amp; Express Bus</v>
      </c>
      <c r="D41" s="4" t="s">
        <v>14</v>
      </c>
      <c r="E41" s="5">
        <v>75761.864236574911</v>
      </c>
      <c r="F41" s="5">
        <v>10862.452323489097</v>
      </c>
      <c r="G41" s="5">
        <f t="shared" si="4"/>
        <v>64899.411913085816</v>
      </c>
      <c r="H41" s="6">
        <v>2724.5832659046746</v>
      </c>
      <c r="I41" s="79">
        <v>253.44000000000031</v>
      </c>
      <c r="J41" s="5">
        <f t="shared" si="5"/>
        <v>23.819940731940346</v>
      </c>
      <c r="K41" s="25">
        <f t="shared" si="6"/>
        <v>0.26051641518909441</v>
      </c>
      <c r="L41" s="8">
        <f t="shared" si="7"/>
        <v>10.750407457010224</v>
      </c>
      <c r="M41" s="26"/>
    </row>
    <row r="42" spans="1:13" x14ac:dyDescent="0.25">
      <c r="A42" t="s">
        <v>79</v>
      </c>
      <c r="B42" s="4">
        <v>353</v>
      </c>
      <c r="C42" t="str">
        <f>VLOOKUP(B42,'[1]Route types'!A:B,2,FALSE)</f>
        <v>Commuter &amp; Express Bus</v>
      </c>
      <c r="D42" s="4" t="s">
        <v>14</v>
      </c>
      <c r="E42" s="5">
        <v>442132.40172188886</v>
      </c>
      <c r="F42" s="5">
        <v>106550.82705205535</v>
      </c>
      <c r="G42" s="5">
        <f t="shared" si="4"/>
        <v>335581.57466983353</v>
      </c>
      <c r="H42" s="6">
        <v>17053.873034736665</v>
      </c>
      <c r="I42" s="79">
        <v>1371.3300000000077</v>
      </c>
      <c r="J42" s="5">
        <f t="shared" si="5"/>
        <v>19.677733848862054</v>
      </c>
      <c r="K42" s="25">
        <f t="shared" si="6"/>
        <v>0.21521349440121193</v>
      </c>
      <c r="L42" s="8">
        <f t="shared" si="7"/>
        <v>12.43600959268489</v>
      </c>
      <c r="M42" s="26"/>
    </row>
    <row r="43" spans="1:13" x14ac:dyDescent="0.25">
      <c r="A43" t="s">
        <v>79</v>
      </c>
      <c r="B43" s="4">
        <v>355</v>
      </c>
      <c r="C43" t="str">
        <f>VLOOKUP(B43,'[1]Route types'!A:B,2,FALSE)</f>
        <v>Commuter &amp; Express Bus</v>
      </c>
      <c r="D43" s="4" t="s">
        <v>14</v>
      </c>
      <c r="E43" s="5">
        <v>160660.1222875785</v>
      </c>
      <c r="F43" s="5">
        <v>33401.970095527751</v>
      </c>
      <c r="G43" s="5">
        <f t="shared" si="4"/>
        <v>127258.15219205075</v>
      </c>
      <c r="H43" s="6">
        <v>9389.9867721626997</v>
      </c>
      <c r="I43" s="79">
        <v>552.96000000000015</v>
      </c>
      <c r="J43" s="5">
        <f t="shared" si="5"/>
        <v>13.552537961961439</v>
      </c>
      <c r="K43" s="25">
        <f t="shared" si="6"/>
        <v>0.14822281240314011</v>
      </c>
      <c r="L43" s="8">
        <f t="shared" si="7"/>
        <v>16.981312883685433</v>
      </c>
      <c r="M43" s="26"/>
    </row>
    <row r="44" spans="1:13" x14ac:dyDescent="0.25">
      <c r="A44" t="s">
        <v>79</v>
      </c>
      <c r="B44" s="4">
        <v>363</v>
      </c>
      <c r="C44" t="str">
        <f>VLOOKUP(B44,'[1]Route types'!A:B,2,FALSE)</f>
        <v>Commuter &amp; Express Bus</v>
      </c>
      <c r="D44" s="4" t="s">
        <v>14</v>
      </c>
      <c r="E44" s="5">
        <v>559954.73413300421</v>
      </c>
      <c r="F44" s="5">
        <v>10492.971579809766</v>
      </c>
      <c r="G44" s="5">
        <f t="shared" si="4"/>
        <v>549461.76255319442</v>
      </c>
      <c r="H44" s="6">
        <v>9930.6545625508006</v>
      </c>
      <c r="I44" s="79">
        <v>1732.299999999994</v>
      </c>
      <c r="J44" s="5">
        <f t="shared" si="5"/>
        <v>55.329863614957823</v>
      </c>
      <c r="K44" s="25">
        <f t="shared" si="6"/>
        <v>0.60513743019276378</v>
      </c>
      <c r="L44" s="8">
        <f t="shared" si="7"/>
        <v>5.732641322259906</v>
      </c>
      <c r="M44" s="26"/>
    </row>
    <row r="45" spans="1:13" x14ac:dyDescent="0.25">
      <c r="A45" t="s">
        <v>79</v>
      </c>
      <c r="B45" s="4">
        <v>535</v>
      </c>
      <c r="C45" t="str">
        <f>VLOOKUP(B45,'[1]Route types'!A:B,2,FALSE)</f>
        <v>Commuter &amp; Express Bus</v>
      </c>
      <c r="D45" s="4" t="s">
        <v>14</v>
      </c>
      <c r="E45" s="5">
        <v>3644403.2496442581</v>
      </c>
      <c r="F45" s="5">
        <v>155730.99948367322</v>
      </c>
      <c r="G45" s="5">
        <f t="shared" si="4"/>
        <v>3488672.2501605847</v>
      </c>
      <c r="H45" s="6">
        <v>86022.47610371311</v>
      </c>
      <c r="I45" s="79">
        <v>14935.419999999993</v>
      </c>
      <c r="J45" s="5">
        <f t="shared" si="5"/>
        <v>40.555357252847067</v>
      </c>
      <c r="K45" s="25">
        <f t="shared" si="6"/>
        <v>0.44355006618709236</v>
      </c>
      <c r="L45" s="8">
        <f t="shared" si="7"/>
        <v>5.7596288623763607</v>
      </c>
      <c r="M45" s="26"/>
    </row>
    <row r="46" spans="1:13" x14ac:dyDescent="0.25">
      <c r="A46" t="s">
        <v>79</v>
      </c>
      <c r="B46" s="4">
        <v>553</v>
      </c>
      <c r="C46" t="str">
        <f>VLOOKUP(B46,'[1]Route types'!A:B,2,FALSE)</f>
        <v>Commuter &amp; Express Bus</v>
      </c>
      <c r="D46" s="4" t="s">
        <v>14</v>
      </c>
      <c r="E46" s="5">
        <v>104324.75473219439</v>
      </c>
      <c r="F46" s="5">
        <v>18384.4410018372</v>
      </c>
      <c r="G46" s="5">
        <f t="shared" si="4"/>
        <v>85940.313730357186</v>
      </c>
      <c r="H46" s="6">
        <v>3133.5363097149279</v>
      </c>
      <c r="I46" s="79">
        <v>374.4599999999997</v>
      </c>
      <c r="J46" s="5">
        <f t="shared" si="5"/>
        <v>27.42598305432611</v>
      </c>
      <c r="K46" s="25">
        <f t="shared" si="6"/>
        <v>0.29995535542072993</v>
      </c>
      <c r="L46" s="8">
        <f t="shared" si="7"/>
        <v>8.3681469575253171</v>
      </c>
      <c r="M46" s="26"/>
    </row>
    <row r="47" spans="1:13" x14ac:dyDescent="0.25">
      <c r="A47" t="s">
        <v>79</v>
      </c>
      <c r="B47" s="4">
        <v>578</v>
      </c>
      <c r="C47" t="str">
        <f>VLOOKUP(B47,'[1]Route types'!A:B,2,FALSE)</f>
        <v>Commuter &amp; Express Bus</v>
      </c>
      <c r="D47" s="4" t="s">
        <v>14</v>
      </c>
      <c r="E47" s="5">
        <v>175191.94694674574</v>
      </c>
      <c r="F47" s="5">
        <v>38184.567926184318</v>
      </c>
      <c r="G47" s="5">
        <f t="shared" si="4"/>
        <v>137007.37902056141</v>
      </c>
      <c r="H47" s="6">
        <v>5899.5459878497313</v>
      </c>
      <c r="I47" s="79">
        <v>543.29000000000099</v>
      </c>
      <c r="J47" s="5">
        <f t="shared" si="5"/>
        <v>23.223376731486063</v>
      </c>
      <c r="K47" s="25">
        <f t="shared" si="6"/>
        <v>0.25399185173286304</v>
      </c>
      <c r="L47" s="8">
        <f t="shared" si="7"/>
        <v>10.858926149661729</v>
      </c>
      <c r="M47" s="26"/>
    </row>
    <row r="48" spans="1:13" x14ac:dyDescent="0.25">
      <c r="A48" t="s">
        <v>79</v>
      </c>
      <c r="B48" s="4">
        <v>579</v>
      </c>
      <c r="C48" t="str">
        <f>VLOOKUP(B48,'[1]Route types'!A:B,2,FALSE)</f>
        <v>Commuter &amp; Express Bus</v>
      </c>
      <c r="D48" s="4" t="s">
        <v>14</v>
      </c>
      <c r="E48" s="5">
        <v>67471.523727189939</v>
      </c>
      <c r="F48" s="5">
        <v>3847.5515380463053</v>
      </c>
      <c r="G48" s="5">
        <f t="shared" si="4"/>
        <v>63623.972189143635</v>
      </c>
      <c r="H48" s="6">
        <v>2659.7881083139591</v>
      </c>
      <c r="I48" s="79">
        <v>173.14000000000007</v>
      </c>
      <c r="J48" s="5">
        <f t="shared" si="5"/>
        <v>23.920692024401486</v>
      </c>
      <c r="K48" s="25">
        <f t="shared" si="6"/>
        <v>0.26161832244541472</v>
      </c>
      <c r="L48" s="8">
        <f t="shared" si="7"/>
        <v>15.362066006202831</v>
      </c>
      <c r="M48" s="26"/>
    </row>
    <row r="49" spans="1:13" x14ac:dyDescent="0.25">
      <c r="A49" t="s">
        <v>79</v>
      </c>
      <c r="B49" s="4">
        <v>597</v>
      </c>
      <c r="C49" t="str">
        <f>VLOOKUP(B49,'[1]Route types'!A:B,2,FALSE)</f>
        <v>Commuter &amp; Express Bus</v>
      </c>
      <c r="D49" s="4" t="s">
        <v>14</v>
      </c>
      <c r="E49" s="5">
        <v>169565.77429154181</v>
      </c>
      <c r="F49" s="5">
        <v>32470.782566399204</v>
      </c>
      <c r="G49" s="5">
        <f t="shared" si="4"/>
        <v>137094.99172514261</v>
      </c>
      <c r="H49" s="6">
        <v>5511.8372580036475</v>
      </c>
      <c r="I49" s="79">
        <v>522.21000000000038</v>
      </c>
      <c r="J49" s="5">
        <f t="shared" si="5"/>
        <v>24.872830112331282</v>
      </c>
      <c r="K49" s="25">
        <f t="shared" si="6"/>
        <v>0.27203176571229321</v>
      </c>
      <c r="L49" s="8">
        <f t="shared" si="7"/>
        <v>10.554829011324264</v>
      </c>
      <c r="M49" s="26"/>
    </row>
    <row r="50" spans="1:13" x14ac:dyDescent="0.25">
      <c r="A50" t="s">
        <v>79</v>
      </c>
      <c r="B50" s="4">
        <v>645</v>
      </c>
      <c r="C50" t="str">
        <f>VLOOKUP(B50,'[1]Route types'!A:B,2,FALSE)</f>
        <v>Commuter &amp; Express Bus</v>
      </c>
      <c r="D50" s="4" t="s">
        <v>14</v>
      </c>
      <c r="E50" s="5">
        <v>2753144.1873498987</v>
      </c>
      <c r="F50" s="5">
        <v>142092.72163584112</v>
      </c>
      <c r="G50" s="5">
        <f t="shared" si="4"/>
        <v>2611051.4657140574</v>
      </c>
      <c r="H50" s="6">
        <v>106492.43482388816</v>
      </c>
      <c r="I50" s="79">
        <v>12588.419999999942</v>
      </c>
      <c r="J50" s="5">
        <f t="shared" si="5"/>
        <v>24.518656841982089</v>
      </c>
      <c r="K50" s="25">
        <f t="shared" si="6"/>
        <v>0.2681582065046732</v>
      </c>
      <c r="L50" s="8">
        <f t="shared" si="7"/>
        <v>8.4595552757128107</v>
      </c>
      <c r="M50" s="26"/>
    </row>
    <row r="51" spans="1:13" x14ac:dyDescent="0.25">
      <c r="A51" t="s">
        <v>79</v>
      </c>
      <c r="B51" s="4">
        <v>652</v>
      </c>
      <c r="C51" t="str">
        <f>VLOOKUP(B51,'[1]Route types'!A:B,2,FALSE)</f>
        <v>Commuter &amp; Express Bus</v>
      </c>
      <c r="D51" s="4" t="s">
        <v>14</v>
      </c>
      <c r="E51" s="5">
        <v>80965.82847262772</v>
      </c>
      <c r="F51" s="5">
        <v>8800.531165698525</v>
      </c>
      <c r="G51" s="5">
        <f t="shared" si="4"/>
        <v>72165.297306929191</v>
      </c>
      <c r="H51" s="6">
        <v>4663.1269151350953</v>
      </c>
      <c r="I51" s="79">
        <v>290.60000000000031</v>
      </c>
      <c r="J51" s="5">
        <f t="shared" si="5"/>
        <v>15.475730903377844</v>
      </c>
      <c r="K51" s="25">
        <f t="shared" si="6"/>
        <v>0.16925658979381789</v>
      </c>
      <c r="L51" s="8">
        <f t="shared" si="7"/>
        <v>16.046548228269408</v>
      </c>
      <c r="M51" s="26"/>
    </row>
    <row r="52" spans="1:13" x14ac:dyDescent="0.25">
      <c r="A52" t="s">
        <v>79</v>
      </c>
      <c r="B52" s="4">
        <v>663</v>
      </c>
      <c r="C52" t="str">
        <f>VLOOKUP(B52,'[1]Route types'!A:B,2,FALSE)</f>
        <v>Commuter &amp; Express Bus</v>
      </c>
      <c r="D52" s="4" t="s">
        <v>14</v>
      </c>
      <c r="E52" s="5">
        <v>128631.19523473912</v>
      </c>
      <c r="F52" s="5">
        <v>20397.026295198331</v>
      </c>
      <c r="G52" s="5">
        <f t="shared" si="4"/>
        <v>108234.16893954079</v>
      </c>
      <c r="H52" s="6">
        <v>3420.3345482312093</v>
      </c>
      <c r="I52" s="79">
        <v>373.91999999999871</v>
      </c>
      <c r="J52" s="5">
        <f t="shared" si="5"/>
        <v>31.644322335519188</v>
      </c>
      <c r="K52" s="25">
        <f t="shared" si="6"/>
        <v>0.34609092897042293</v>
      </c>
      <c r="L52" s="8">
        <f t="shared" si="7"/>
        <v>9.1472361687826833</v>
      </c>
      <c r="M52" s="26"/>
    </row>
    <row r="53" spans="1:13" x14ac:dyDescent="0.25">
      <c r="A53" t="s">
        <v>79</v>
      </c>
      <c r="B53" s="4">
        <v>667</v>
      </c>
      <c r="C53" t="str">
        <f>VLOOKUP(B53,'[1]Route types'!A:B,2,FALSE)</f>
        <v>Commuter &amp; Express Bus</v>
      </c>
      <c r="D53" s="4" t="s">
        <v>14</v>
      </c>
      <c r="E53" s="5">
        <v>295249.69292592537</v>
      </c>
      <c r="F53" s="5">
        <v>35445.127394842813</v>
      </c>
      <c r="G53" s="5">
        <f t="shared" si="4"/>
        <v>259804.56553108257</v>
      </c>
      <c r="H53" s="6">
        <v>7117.9073936948234</v>
      </c>
      <c r="I53" s="79">
        <v>958.19999999999993</v>
      </c>
      <c r="J53" s="5">
        <f t="shared" si="5"/>
        <v>36.500132856634572</v>
      </c>
      <c r="K53" s="25">
        <f t="shared" si="6"/>
        <v>0.39919846454469055</v>
      </c>
      <c r="L53" s="8">
        <f t="shared" si="7"/>
        <v>7.4284151468324193</v>
      </c>
      <c r="M53" s="26"/>
    </row>
    <row r="54" spans="1:13" x14ac:dyDescent="0.25">
      <c r="A54" t="s">
        <v>79</v>
      </c>
      <c r="B54" s="4">
        <v>673</v>
      </c>
      <c r="C54" t="str">
        <f>VLOOKUP(B54,'[1]Route types'!A:B,2,FALSE)</f>
        <v>Commuter &amp; Express Bus</v>
      </c>
      <c r="D54" s="4" t="s">
        <v>14</v>
      </c>
      <c r="E54" s="5">
        <v>106967.64851874269</v>
      </c>
      <c r="F54" s="5">
        <v>16523.308034829603</v>
      </c>
      <c r="G54" s="5">
        <f t="shared" si="4"/>
        <v>90444.340483913082</v>
      </c>
      <c r="H54" s="6">
        <v>3834.5986705325049</v>
      </c>
      <c r="I54" s="79">
        <v>404.79999999999944</v>
      </c>
      <c r="J54" s="5">
        <f t="shared" si="5"/>
        <v>23.586390194870958</v>
      </c>
      <c r="K54" s="25">
        <f t="shared" si="6"/>
        <v>0.25796209528681108</v>
      </c>
      <c r="L54" s="8">
        <f t="shared" si="7"/>
        <v>9.4728228026988894</v>
      </c>
      <c r="M54" s="26"/>
    </row>
    <row r="55" spans="1:13" x14ac:dyDescent="0.25">
      <c r="A55" t="s">
        <v>79</v>
      </c>
      <c r="B55" s="4">
        <v>755</v>
      </c>
      <c r="C55" t="str">
        <f>VLOOKUP(B55,'[1]Route types'!A:B,2,FALSE)</f>
        <v>Commuter &amp; Express Bus</v>
      </c>
      <c r="D55" s="4" t="s">
        <v>14</v>
      </c>
      <c r="E55" s="5">
        <v>1235691.1266512249</v>
      </c>
      <c r="F55" s="5">
        <v>63896.337065750755</v>
      </c>
      <c r="G55" s="5">
        <f t="shared" si="4"/>
        <v>1171794.7895854742</v>
      </c>
      <c r="H55" s="6">
        <v>34250.082973033263</v>
      </c>
      <c r="I55" s="79">
        <v>5089.689999999975</v>
      </c>
      <c r="J55" s="5">
        <f t="shared" si="5"/>
        <v>34.212903674075321</v>
      </c>
      <c r="K55" s="25">
        <f t="shared" si="6"/>
        <v>0.37418325757747822</v>
      </c>
      <c r="L55" s="8">
        <f t="shared" si="7"/>
        <v>6.7293062982290532</v>
      </c>
      <c r="M55" s="26"/>
    </row>
    <row r="56" spans="1:13" x14ac:dyDescent="0.25">
      <c r="A56" t="s">
        <v>79</v>
      </c>
      <c r="B56" s="4">
        <v>756</v>
      </c>
      <c r="C56" t="str">
        <f>VLOOKUP(B56,'[1]Route types'!A:B,2,FALSE)</f>
        <v>Commuter &amp; Express Bus</v>
      </c>
      <c r="D56" s="4" t="s">
        <v>14</v>
      </c>
      <c r="E56" s="5">
        <v>114240.10671529015</v>
      </c>
      <c r="F56" s="5">
        <v>15267.073506319875</v>
      </c>
      <c r="G56" s="5">
        <f t="shared" si="4"/>
        <v>98973.033208970272</v>
      </c>
      <c r="H56" s="6">
        <v>2493.0202436952322</v>
      </c>
      <c r="I56" s="79">
        <v>401.44999999999976</v>
      </c>
      <c r="J56" s="5">
        <f t="shared" si="5"/>
        <v>39.700051958771645</v>
      </c>
      <c r="K56" s="25">
        <f t="shared" si="6"/>
        <v>0.43419567393178332</v>
      </c>
      <c r="L56" s="8">
        <f t="shared" si="7"/>
        <v>6.2100392170761829</v>
      </c>
      <c r="M56" s="26"/>
    </row>
    <row r="57" spans="1:13" x14ac:dyDescent="0.25">
      <c r="A57" t="s">
        <v>79</v>
      </c>
      <c r="B57" s="4">
        <v>760</v>
      </c>
      <c r="C57" t="str">
        <f>VLOOKUP(B57,'[1]Route types'!A:B,2,FALSE)</f>
        <v>Commuter &amp; Express Bus</v>
      </c>
      <c r="D57" s="4" t="s">
        <v>14</v>
      </c>
      <c r="E57" s="5">
        <v>358253.66245046462</v>
      </c>
      <c r="F57" s="5">
        <v>58464.887327581302</v>
      </c>
      <c r="G57" s="5">
        <f t="shared" si="4"/>
        <v>299788.77512288332</v>
      </c>
      <c r="H57" s="6">
        <v>15159.942444831</v>
      </c>
      <c r="I57" s="79">
        <v>1315.6800000000023</v>
      </c>
      <c r="J57" s="5">
        <f t="shared" si="5"/>
        <v>19.775060242732032</v>
      </c>
      <c r="K57" s="25">
        <f>J57/G78</f>
        <v>0.7079492081739569</v>
      </c>
      <c r="L57" s="8">
        <f t="shared" si="7"/>
        <v>11.522514931313825</v>
      </c>
      <c r="M57" s="26"/>
    </row>
    <row r="58" spans="1:13" x14ac:dyDescent="0.25">
      <c r="A58" t="s">
        <v>79</v>
      </c>
      <c r="B58" s="4">
        <v>761</v>
      </c>
      <c r="C58" t="str">
        <f>VLOOKUP(B58,'[1]Route types'!A:B,2,FALSE)</f>
        <v>Commuter &amp; Express Bus</v>
      </c>
      <c r="D58" s="4" t="s">
        <v>14</v>
      </c>
      <c r="E58" s="5">
        <v>164957.48394917403</v>
      </c>
      <c r="F58" s="5">
        <v>28998.375708129883</v>
      </c>
      <c r="G58" s="5">
        <f t="shared" si="4"/>
        <v>135959.10824104416</v>
      </c>
      <c r="H58" s="6">
        <v>5879.3638895837712</v>
      </c>
      <c r="I58" s="79">
        <v>611.67999999999893</v>
      </c>
      <c r="J58" s="5">
        <f t="shared" si="5"/>
        <v>23.124799007919439</v>
      </c>
      <c r="K58" s="25">
        <f>J58/G78</f>
        <v>0.8278702034728519</v>
      </c>
      <c r="L58" s="8">
        <f t="shared" si="7"/>
        <v>9.6118295343705551</v>
      </c>
      <c r="M58" s="26"/>
    </row>
    <row r="59" spans="1:13" x14ac:dyDescent="0.25">
      <c r="A59" t="s">
        <v>79</v>
      </c>
      <c r="B59" s="4">
        <v>763</v>
      </c>
      <c r="C59" t="str">
        <f>VLOOKUP(B59,'[1]Route types'!A:B,2,FALSE)</f>
        <v>Commuter &amp; Express Bus</v>
      </c>
      <c r="D59" s="4" t="s">
        <v>14</v>
      </c>
      <c r="E59" s="5">
        <v>101204.01265730261</v>
      </c>
      <c r="F59" s="5">
        <v>25664.619355736082</v>
      </c>
      <c r="G59" s="5">
        <f t="shared" si="4"/>
        <v>75539.393301566524</v>
      </c>
      <c r="H59" s="6">
        <v>5009.4092327510507</v>
      </c>
      <c r="I59" s="79">
        <v>419.77999999999963</v>
      </c>
      <c r="J59" s="5">
        <f t="shared" si="5"/>
        <v>15.079501352713811</v>
      </c>
      <c r="K59" s="25">
        <f t="shared" ref="K59:K73" si="8">J59/$G$77</f>
        <v>0.16492306506793286</v>
      </c>
      <c r="L59" s="8">
        <f t="shared" si="7"/>
        <v>11.933415676666479</v>
      </c>
      <c r="M59" s="26"/>
    </row>
    <row r="60" spans="1:13" x14ac:dyDescent="0.25">
      <c r="A60" t="s">
        <v>79</v>
      </c>
      <c r="B60" s="4">
        <v>764</v>
      </c>
      <c r="C60" t="str">
        <f>VLOOKUP(B60,'[1]Route types'!A:B,2,FALSE)</f>
        <v>Commuter &amp; Express Bus</v>
      </c>
      <c r="D60" s="4" t="s">
        <v>14</v>
      </c>
      <c r="E60" s="5">
        <v>105468.6449840807</v>
      </c>
      <c r="F60" s="5">
        <v>28710.14429338335</v>
      </c>
      <c r="G60" s="5">
        <f t="shared" si="4"/>
        <v>76758.500690697358</v>
      </c>
      <c r="H60" s="6">
        <v>4669.5002093243465</v>
      </c>
      <c r="I60" s="79">
        <v>398.81999999999948</v>
      </c>
      <c r="J60" s="5">
        <f t="shared" si="5"/>
        <v>16.438269033037248</v>
      </c>
      <c r="K60" s="25">
        <f t="shared" si="8"/>
        <v>0.17978377732310682</v>
      </c>
      <c r="L60" s="8">
        <f t="shared" si="7"/>
        <v>11.708289978748189</v>
      </c>
      <c r="M60" s="26"/>
    </row>
    <row r="61" spans="1:13" x14ac:dyDescent="0.25">
      <c r="A61" t="s">
        <v>79</v>
      </c>
      <c r="B61" s="4">
        <v>765</v>
      </c>
      <c r="C61" t="str">
        <f>VLOOKUP(B61,'[1]Route types'!A:B,2,FALSE)</f>
        <v>Commuter &amp; Express Bus</v>
      </c>
      <c r="D61" s="4" t="s">
        <v>14</v>
      </c>
      <c r="E61" s="5">
        <v>54644.897412037921</v>
      </c>
      <c r="F61" s="5">
        <v>1183.2326854734845</v>
      </c>
      <c r="G61" s="5">
        <f t="shared" si="4"/>
        <v>53461.664726564435</v>
      </c>
      <c r="H61" s="6">
        <v>749.92428293516571</v>
      </c>
      <c r="I61" s="79">
        <v>152.57000000000019</v>
      </c>
      <c r="J61" s="5">
        <f t="shared" si="5"/>
        <v>71.289416735937905</v>
      </c>
      <c r="K61" s="25">
        <f t="shared" si="8"/>
        <v>0.77968553733908119</v>
      </c>
      <c r="L61" s="8">
        <f t="shared" si="7"/>
        <v>4.915280087403584</v>
      </c>
      <c r="M61" s="26"/>
    </row>
    <row r="62" spans="1:13" x14ac:dyDescent="0.25">
      <c r="A62" t="s">
        <v>79</v>
      </c>
      <c r="B62" s="4">
        <v>766</v>
      </c>
      <c r="C62" t="str">
        <f>VLOOKUP(B62,'[1]Route types'!A:B,2,FALSE)</f>
        <v>Commuter &amp; Express Bus</v>
      </c>
      <c r="D62" s="4" t="s">
        <v>14</v>
      </c>
      <c r="E62" s="5">
        <v>677626.51160395541</v>
      </c>
      <c r="F62" s="5">
        <v>55907.620179497193</v>
      </c>
      <c r="G62" s="5">
        <f t="shared" si="4"/>
        <v>621718.89142445824</v>
      </c>
      <c r="H62" s="6">
        <v>15865.253668441412</v>
      </c>
      <c r="I62" s="79">
        <v>2166.5200000000063</v>
      </c>
      <c r="J62" s="5">
        <f t="shared" si="5"/>
        <v>39.187453564714126</v>
      </c>
      <c r="K62" s="25">
        <f t="shared" si="8"/>
        <v>0.42858943428768187</v>
      </c>
      <c r="L62" s="8">
        <f t="shared" si="7"/>
        <v>7.3229204754358905</v>
      </c>
      <c r="M62" s="26"/>
    </row>
    <row r="63" spans="1:13" x14ac:dyDescent="0.25">
      <c r="A63" t="s">
        <v>79</v>
      </c>
      <c r="B63" s="4">
        <v>768</v>
      </c>
      <c r="C63" t="str">
        <f>VLOOKUP(B63,'[1]Route types'!A:B,2,FALSE)</f>
        <v>Commuter &amp; Express Bus</v>
      </c>
      <c r="D63" s="4" t="s">
        <v>14</v>
      </c>
      <c r="E63" s="5">
        <v>703616.8763828855</v>
      </c>
      <c r="F63" s="5">
        <v>147007.54422030924</v>
      </c>
      <c r="G63" s="5">
        <f t="shared" si="4"/>
        <v>556609.33216257626</v>
      </c>
      <c r="H63" s="6">
        <v>27912.904117521652</v>
      </c>
      <c r="I63" s="79">
        <v>1884.4899999999875</v>
      </c>
      <c r="J63" s="5">
        <f t="shared" si="5"/>
        <v>19.94093233076304</v>
      </c>
      <c r="K63" s="25">
        <f t="shared" si="8"/>
        <v>0.21809207104250952</v>
      </c>
      <c r="L63" s="8">
        <f t="shared" si="7"/>
        <v>14.811914161137409</v>
      </c>
      <c r="M63" s="26"/>
    </row>
    <row r="64" spans="1:13" x14ac:dyDescent="0.25">
      <c r="A64" t="s">
        <v>79</v>
      </c>
      <c r="B64" s="4">
        <v>850</v>
      </c>
      <c r="C64" t="str">
        <f>VLOOKUP(B64,'[1]Route types'!A:B,2,FALSE)</f>
        <v>Commuter &amp; Express Bus</v>
      </c>
      <c r="D64" s="4" t="s">
        <v>14</v>
      </c>
      <c r="E64" s="5">
        <v>1076837.6636455916</v>
      </c>
      <c r="F64" s="5">
        <v>260925.21447304395</v>
      </c>
      <c r="G64" s="5">
        <f t="shared" si="4"/>
        <v>815912.44917254767</v>
      </c>
      <c r="H64" s="6">
        <v>45113.362918611085</v>
      </c>
      <c r="I64" s="79">
        <v>3262.130000000001</v>
      </c>
      <c r="J64" s="5">
        <f t="shared" si="5"/>
        <v>18.085826380191019</v>
      </c>
      <c r="K64" s="25">
        <f t="shared" si="8"/>
        <v>0.19780295456326746</v>
      </c>
      <c r="L64" s="8">
        <f t="shared" si="7"/>
        <v>13.829419096912469</v>
      </c>
      <c r="M64" s="26"/>
    </row>
    <row r="65" spans="1:13" x14ac:dyDescent="0.25">
      <c r="A65" t="s">
        <v>79</v>
      </c>
      <c r="B65" s="4">
        <v>852</v>
      </c>
      <c r="C65" t="str">
        <f>VLOOKUP(B65,'[1]Route types'!A:B,2,FALSE)</f>
        <v>Commuter &amp; Express Bus</v>
      </c>
      <c r="D65" s="4" t="s">
        <v>14</v>
      </c>
      <c r="E65" s="5">
        <v>2416809.3604270127</v>
      </c>
      <c r="F65" s="5">
        <v>141609.56470100913</v>
      </c>
      <c r="G65" s="5">
        <f t="shared" si="4"/>
        <v>2275199.7957260036</v>
      </c>
      <c r="H65" s="6">
        <v>73062.382369871819</v>
      </c>
      <c r="I65" s="79">
        <v>10833.750000000031</v>
      </c>
      <c r="J65" s="5">
        <f t="shared" si="5"/>
        <v>31.140509273404291</v>
      </c>
      <c r="K65" s="25">
        <f t="shared" si="8"/>
        <v>0.34058077366211786</v>
      </c>
      <c r="L65" s="8">
        <f t="shared" si="7"/>
        <v>6.7439605279678423</v>
      </c>
      <c r="M65" s="26"/>
    </row>
    <row r="66" spans="1:13" x14ac:dyDescent="0.25">
      <c r="A66" t="s">
        <v>79</v>
      </c>
      <c r="B66" s="4">
        <v>645</v>
      </c>
      <c r="C66" t="str">
        <f>VLOOKUP(B66,'[1]Route types'!A:B,2,FALSE)</f>
        <v>Commuter &amp; Express Bus</v>
      </c>
      <c r="D66" s="4" t="s">
        <v>17</v>
      </c>
      <c r="E66" s="5">
        <v>254557.31094677566</v>
      </c>
      <c r="F66" s="5">
        <v>7686.3753149129143</v>
      </c>
      <c r="G66" s="5">
        <f t="shared" si="4"/>
        <v>246870.93563186275</v>
      </c>
      <c r="H66" s="6">
        <v>9389.9867721626997</v>
      </c>
      <c r="I66" s="79">
        <v>1292.8499999999997</v>
      </c>
      <c r="J66" s="5">
        <f t="shared" si="5"/>
        <v>26.290871501941798</v>
      </c>
      <c r="K66" s="25">
        <f t="shared" si="8"/>
        <v>0.28754074886084197</v>
      </c>
      <c r="L66" s="8">
        <f t="shared" si="7"/>
        <v>7.263013321083422</v>
      </c>
      <c r="M66" s="26"/>
    </row>
    <row r="67" spans="1:13" x14ac:dyDescent="0.25">
      <c r="A67" t="s">
        <v>79</v>
      </c>
      <c r="B67" s="4">
        <v>852</v>
      </c>
      <c r="C67" t="str">
        <f>VLOOKUP(B67,'[1]Route types'!A:B,2,FALSE)</f>
        <v>Commuter &amp; Express Bus</v>
      </c>
      <c r="D67" s="4" t="s">
        <v>17</v>
      </c>
      <c r="E67" s="5">
        <v>217291.69032306559</v>
      </c>
      <c r="F67" s="5">
        <v>6936.3840572588515</v>
      </c>
      <c r="G67" s="5">
        <f t="shared" si="4"/>
        <v>210355.30626580675</v>
      </c>
      <c r="H67" s="6">
        <v>7026.5568436488966</v>
      </c>
      <c r="I67" s="79">
        <v>987.4</v>
      </c>
      <c r="J67" s="5">
        <f t="shared" si="5"/>
        <v>29.937181317467157</v>
      </c>
      <c r="K67" s="25">
        <f t="shared" si="8"/>
        <v>0.32742009081637063</v>
      </c>
      <c r="L67" s="8">
        <f t="shared" si="7"/>
        <v>7.116221231161532</v>
      </c>
      <c r="M67" s="26"/>
    </row>
    <row r="68" spans="1:13" x14ac:dyDescent="0.25">
      <c r="A68" t="s">
        <v>79</v>
      </c>
      <c r="B68" s="4">
        <v>645</v>
      </c>
      <c r="C68" t="str">
        <f>VLOOKUP(B68,'[1]Route types'!A:B,2,FALSE)</f>
        <v>Commuter &amp; Express Bus</v>
      </c>
      <c r="D68" s="4" t="s">
        <v>18</v>
      </c>
      <c r="E68" s="5">
        <v>209441.55936698205</v>
      </c>
      <c r="F68" s="5">
        <v>5512.4340876357019</v>
      </c>
      <c r="G68" s="5">
        <f t="shared" si="4"/>
        <v>203929.12527934636</v>
      </c>
      <c r="H68" s="6">
        <v>6190.5930891588478</v>
      </c>
      <c r="I68" s="79">
        <v>1049.9399999999994</v>
      </c>
      <c r="J68" s="5">
        <f t="shared" si="5"/>
        <v>32.941775100106831</v>
      </c>
      <c r="K68" s="25">
        <f t="shared" si="8"/>
        <v>0.36028104585238124</v>
      </c>
      <c r="L68" s="8">
        <f t="shared" si="7"/>
        <v>5.8961398643340113</v>
      </c>
      <c r="M68" s="26"/>
    </row>
    <row r="69" spans="1:13" x14ac:dyDescent="0.25">
      <c r="A69" t="s">
        <v>76</v>
      </c>
      <c r="B69" s="4">
        <v>747</v>
      </c>
      <c r="C69" t="s">
        <v>74</v>
      </c>
      <c r="D69" s="4" t="s">
        <v>14</v>
      </c>
      <c r="E69" s="5">
        <v>992189.58507672918</v>
      </c>
      <c r="F69" s="5">
        <v>20712.555786902183</v>
      </c>
      <c r="G69" s="5">
        <f t="shared" ref="G69:G73" si="9">E69-F69</f>
        <v>971477.02928982698</v>
      </c>
      <c r="H69" s="6">
        <v>19015</v>
      </c>
      <c r="I69" s="79">
        <v>4309.2600000000011</v>
      </c>
      <c r="J69" s="5">
        <f t="shared" si="5"/>
        <v>51.090035723893081</v>
      </c>
      <c r="K69" s="25">
        <f t="shared" si="8"/>
        <v>0.55876683777068303</v>
      </c>
      <c r="L69" s="8">
        <f t="shared" si="7"/>
        <v>4.4125905607923395</v>
      </c>
      <c r="M69" s="26"/>
    </row>
    <row r="70" spans="1:13" x14ac:dyDescent="0.25">
      <c r="A70" t="s">
        <v>76</v>
      </c>
      <c r="B70" s="4">
        <v>774</v>
      </c>
      <c r="C70" t="s">
        <v>74</v>
      </c>
      <c r="D70" s="4" t="s">
        <v>14</v>
      </c>
      <c r="E70" s="5">
        <v>933220.20644890936</v>
      </c>
      <c r="F70" s="5">
        <v>28146.102964212761</v>
      </c>
      <c r="G70" s="5">
        <f t="shared" si="9"/>
        <v>905074.10348469659</v>
      </c>
      <c r="H70" s="6">
        <v>19409</v>
      </c>
      <c r="I70" s="79">
        <v>4325.2499999999991</v>
      </c>
      <c r="J70" s="5">
        <f t="shared" si="5"/>
        <v>46.631671053876893</v>
      </c>
      <c r="K70" s="25">
        <f t="shared" si="8"/>
        <v>0.51000612948391166</v>
      </c>
      <c r="L70" s="8">
        <f t="shared" si="7"/>
        <v>4.48737067221548</v>
      </c>
      <c r="M70" s="26"/>
    </row>
    <row r="71" spans="1:13" x14ac:dyDescent="0.25">
      <c r="A71" t="s">
        <v>76</v>
      </c>
      <c r="B71" s="4">
        <v>776</v>
      </c>
      <c r="C71" t="s">
        <v>74</v>
      </c>
      <c r="D71" s="4" t="s">
        <v>14</v>
      </c>
      <c r="E71" s="5">
        <v>481158.34166814724</v>
      </c>
      <c r="F71" s="5">
        <v>6726.1476249952893</v>
      </c>
      <c r="G71" s="5">
        <f t="shared" si="9"/>
        <v>474432.19404315198</v>
      </c>
      <c r="H71" s="6">
        <v>4743</v>
      </c>
      <c r="I71" s="79">
        <v>2089.7999999999997</v>
      </c>
      <c r="J71" s="5">
        <f t="shared" si="5"/>
        <v>100.02787139851401</v>
      </c>
      <c r="K71" s="25">
        <f t="shared" si="8"/>
        <v>1.0939952692994752</v>
      </c>
      <c r="L71" s="8">
        <f t="shared" si="7"/>
        <v>2.2695951765719209</v>
      </c>
      <c r="M71" s="26"/>
    </row>
    <row r="72" spans="1:13" x14ac:dyDescent="0.25">
      <c r="A72" t="s">
        <v>76</v>
      </c>
      <c r="B72" s="4">
        <v>790</v>
      </c>
      <c r="C72" t="s">
        <v>74</v>
      </c>
      <c r="D72" s="4" t="s">
        <v>14</v>
      </c>
      <c r="E72" s="5">
        <v>461533.06168636645</v>
      </c>
      <c r="F72" s="5">
        <v>10633.472540167826</v>
      </c>
      <c r="G72" s="5">
        <f t="shared" si="9"/>
        <v>450899.58914619865</v>
      </c>
      <c r="H72" s="6">
        <v>7404</v>
      </c>
      <c r="I72" s="79">
        <v>2228.6</v>
      </c>
      <c r="J72" s="5">
        <f t="shared" si="5"/>
        <v>60.899458285548171</v>
      </c>
      <c r="K72" s="25">
        <f t="shared" si="8"/>
        <v>0.66605155478976008</v>
      </c>
      <c r="L72" s="8">
        <f t="shared" si="7"/>
        <v>3.3222650991653953</v>
      </c>
      <c r="M72" s="26"/>
    </row>
    <row r="73" spans="1:13" ht="15.75" thickBot="1" x14ac:dyDescent="0.3">
      <c r="A73" s="34" t="s">
        <v>76</v>
      </c>
      <c r="B73" s="29">
        <v>795</v>
      </c>
      <c r="C73" s="34" t="s">
        <v>74</v>
      </c>
      <c r="D73" s="29" t="s">
        <v>14</v>
      </c>
      <c r="E73" s="30">
        <v>102740.74393018748</v>
      </c>
      <c r="F73" s="30">
        <v>3008.2663878751405</v>
      </c>
      <c r="G73" s="30">
        <f t="shared" si="9"/>
        <v>99732.47754231235</v>
      </c>
      <c r="H73" s="31">
        <v>2114</v>
      </c>
      <c r="I73" s="80">
        <v>428.03999999999996</v>
      </c>
      <c r="J73" s="30">
        <f t="shared" si="5"/>
        <v>47.177141694565918</v>
      </c>
      <c r="K73" s="32">
        <f t="shared" si="8"/>
        <v>0.51597188974764963</v>
      </c>
      <c r="L73" s="33">
        <f t="shared" si="7"/>
        <v>4.9387907672180171</v>
      </c>
      <c r="M73" s="35"/>
    </row>
    <row r="75" spans="1:13" ht="15.75" thickBot="1" x14ac:dyDescent="0.3"/>
    <row r="76" spans="1:13" ht="36" x14ac:dyDescent="0.25">
      <c r="F76" s="70" t="s">
        <v>20</v>
      </c>
      <c r="G76" s="17" t="s">
        <v>21</v>
      </c>
      <c r="H76" s="17" t="s">
        <v>22</v>
      </c>
      <c r="I76" s="17" t="s">
        <v>23</v>
      </c>
      <c r="J76" s="49" t="s">
        <v>24</v>
      </c>
    </row>
    <row r="77" spans="1:13" x14ac:dyDescent="0.25">
      <c r="F77" s="24" t="s">
        <v>14</v>
      </c>
      <c r="G77" s="11">
        <f>AVERAGEIF($D$5:$D$73,"Weekday",J5:J73)</f>
        <v>91.433550222356516</v>
      </c>
      <c r="H77" s="50">
        <f>G77*1.2</f>
        <v>109.72026026682782</v>
      </c>
      <c r="I77" s="51">
        <f>G77*1.35</f>
        <v>123.4352928001813</v>
      </c>
      <c r="J77" s="52">
        <f>G77*1.6</f>
        <v>146.29368035577042</v>
      </c>
    </row>
    <row r="78" spans="1:13" ht="15.75" thickBot="1" x14ac:dyDescent="0.3">
      <c r="F78" s="28" t="s">
        <v>25</v>
      </c>
      <c r="G78" s="30">
        <f>AVERAGE(J29:J30,J66:J67,J68)</f>
        <v>27.932879950157265</v>
      </c>
      <c r="H78" s="53">
        <f>G78*1.2</f>
        <v>33.519455940188713</v>
      </c>
      <c r="I78" s="54">
        <f>G78*1.35</f>
        <v>37.70938793271231</v>
      </c>
      <c r="J78" s="55">
        <f>G78*1.6</f>
        <v>44.692607920251625</v>
      </c>
    </row>
    <row r="80" spans="1:13" hidden="1" x14ac:dyDescent="0.25">
      <c r="D80">
        <f>COUNTIF(D5:D73, "Weekday")</f>
        <v>64</v>
      </c>
    </row>
    <row r="81" spans="4:4" hidden="1" x14ac:dyDescent="0.25">
      <c r="D81">
        <f>COUNTIF(D5:D73, "Saturday")</f>
        <v>3</v>
      </c>
    </row>
    <row r="82" spans="4:4" hidden="1" x14ac:dyDescent="0.25">
      <c r="D82">
        <f>COUNTIF(D5:D73, "Sunday")</f>
        <v>2</v>
      </c>
    </row>
    <row r="83" spans="4:4" hidden="1" x14ac:dyDescent="0.25"/>
  </sheetData>
  <conditionalFormatting sqref="K5:K73">
    <cfRule type="cellIs" dxfId="30" priority="3" operator="between">
      <formula>1.35</formula>
      <formula>1.6</formula>
    </cfRule>
    <cfRule type="cellIs" dxfId="29" priority="4" operator="between">
      <formula>1.2</formula>
      <formula>1.35</formula>
    </cfRule>
  </conditionalFormatting>
  <conditionalFormatting sqref="K1 K5:K1048576">
    <cfRule type="cellIs" dxfId="28" priority="2" operator="greaterThan">
      <formula>1.6</formula>
    </cfRule>
  </conditionalFormatting>
  <conditionalFormatting sqref="L5:L73">
    <cfRule type="cellIs" dxfId="27" priority="1" operator="lessThan">
      <formula>20</formula>
    </cfRule>
  </conditionalFormatting>
  <pageMargins left="0.7" right="0.7" top="0.75" bottom="0.75" header="0.3" footer="0.3"/>
  <pageSetup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65AC5-2FB6-4EA4-AF10-997DBC8E857B}">
  <sheetPr>
    <pageSetUpPr fitToPage="1"/>
  </sheetPr>
  <dimension ref="A1:M15"/>
  <sheetViews>
    <sheetView workbookViewId="0">
      <selection activeCell="E1" sqref="E1:G1048576"/>
    </sheetView>
  </sheetViews>
  <sheetFormatPr defaultRowHeight="15" x14ac:dyDescent="0.25"/>
  <cols>
    <col min="1" max="2" width="20.7109375" customWidth="1"/>
    <col min="3" max="3" width="23.5703125" bestFit="1" customWidth="1"/>
    <col min="4" max="4" width="10.7109375" customWidth="1"/>
    <col min="5" max="5" width="12.7109375" bestFit="1" customWidth="1"/>
    <col min="6" max="6" width="11.85546875" bestFit="1" customWidth="1"/>
    <col min="7" max="7" width="12.7109375" bestFit="1" customWidth="1"/>
    <col min="8" max="10" width="11.7109375" customWidth="1"/>
    <col min="11" max="11" width="14.140625" bestFit="1" customWidth="1"/>
    <col min="12" max="12" width="11.7109375" customWidth="1"/>
    <col min="13" max="13" width="39.7109375" customWidth="1"/>
  </cols>
  <sheetData>
    <row r="1" spans="1:13" ht="18.75" x14ac:dyDescent="0.3">
      <c r="A1" s="15" t="s">
        <v>37</v>
      </c>
    </row>
    <row r="2" spans="1:13" ht="46.5" x14ac:dyDescent="0.7">
      <c r="A2" s="148" t="s">
        <v>66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15" customHeight="1" thickBot="1" x14ac:dyDescent="0.75">
      <c r="A3" s="56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48" x14ac:dyDescent="0.25">
      <c r="A4" s="17" t="s">
        <v>2</v>
      </c>
      <c r="B4" s="18" t="s">
        <v>3</v>
      </c>
      <c r="C4" s="19" t="s">
        <v>4</v>
      </c>
      <c r="D4" s="19" t="s">
        <v>5</v>
      </c>
      <c r="E4" s="20" t="s">
        <v>6</v>
      </c>
      <c r="F4" s="71" t="s">
        <v>7</v>
      </c>
      <c r="G4" s="20" t="s">
        <v>8</v>
      </c>
      <c r="H4" s="21" t="s">
        <v>9</v>
      </c>
      <c r="I4" s="21" t="s">
        <v>10</v>
      </c>
      <c r="J4" s="22" t="s">
        <v>11</v>
      </c>
      <c r="K4" s="23" t="s">
        <v>12</v>
      </c>
      <c r="L4" s="23" t="s">
        <v>13</v>
      </c>
      <c r="M4" s="57" t="s">
        <v>90</v>
      </c>
    </row>
    <row r="5" spans="1:13" x14ac:dyDescent="0.25">
      <c r="A5" t="s">
        <v>15</v>
      </c>
      <c r="B5" s="4" t="s">
        <v>71</v>
      </c>
      <c r="C5" t="s">
        <v>72</v>
      </c>
      <c r="D5" s="4" t="s">
        <v>69</v>
      </c>
      <c r="E5" s="5">
        <v>7562863</v>
      </c>
      <c r="F5" s="75">
        <v>488768</v>
      </c>
      <c r="G5" s="5">
        <f>E5-F5</f>
        <v>7074095</v>
      </c>
      <c r="H5" s="6">
        <v>115684</v>
      </c>
      <c r="I5" s="7">
        <v>82836</v>
      </c>
      <c r="J5" s="5">
        <f>G5/H5</f>
        <v>61.150159053974619</v>
      </c>
      <c r="K5" s="25">
        <f>J5/G13</f>
        <v>2.55718745570565</v>
      </c>
      <c r="L5" s="8">
        <f>H5/I5</f>
        <v>1.3965425660340915</v>
      </c>
      <c r="M5" s="26"/>
    </row>
    <row r="6" spans="1:13" x14ac:dyDescent="0.25">
      <c r="A6" t="s">
        <v>73</v>
      </c>
      <c r="B6" s="4" t="s">
        <v>38</v>
      </c>
      <c r="C6" t="s">
        <v>72</v>
      </c>
      <c r="D6" s="4" t="s">
        <v>69</v>
      </c>
      <c r="E6" s="5">
        <v>957957.8</v>
      </c>
      <c r="F6" s="75">
        <v>38747</v>
      </c>
      <c r="G6" s="5">
        <f t="shared" ref="G6:G9" si="0">E6-F6</f>
        <v>919210.8</v>
      </c>
      <c r="H6" s="6">
        <v>24303</v>
      </c>
      <c r="I6" s="7">
        <v>10654</v>
      </c>
      <c r="J6" s="5">
        <f t="shared" ref="J6:J9" si="1">G6/H6</f>
        <v>37.822935440069131</v>
      </c>
      <c r="K6" s="25">
        <f>J6/G13</f>
        <v>1.5816857640539996</v>
      </c>
      <c r="L6" s="8">
        <f t="shared" ref="L6:L9" si="2">H6/I6</f>
        <v>2.2811150741505539</v>
      </c>
      <c r="M6" s="26"/>
    </row>
    <row r="7" spans="1:13" x14ac:dyDescent="0.25">
      <c r="A7" t="s">
        <v>19</v>
      </c>
      <c r="B7" s="4" t="s">
        <v>40</v>
      </c>
      <c r="C7" t="s">
        <v>72</v>
      </c>
      <c r="D7" s="4" t="s">
        <v>14</v>
      </c>
      <c r="E7" s="5">
        <v>1065874</v>
      </c>
      <c r="F7" s="75">
        <v>180341</v>
      </c>
      <c r="G7" s="5">
        <f t="shared" si="0"/>
        <v>885533</v>
      </c>
      <c r="H7" s="6">
        <v>59230</v>
      </c>
      <c r="I7" s="7">
        <v>25153.87</v>
      </c>
      <c r="J7" s="5">
        <f t="shared" si="1"/>
        <v>14.950751308458551</v>
      </c>
      <c r="K7" s="25">
        <f>J7/G13</f>
        <v>0.6252129886631923</v>
      </c>
      <c r="L7" s="8">
        <f t="shared" si="2"/>
        <v>2.3547072478310493</v>
      </c>
      <c r="M7" s="26" t="s">
        <v>39</v>
      </c>
    </row>
    <row r="8" spans="1:13" x14ac:dyDescent="0.25">
      <c r="A8" t="s">
        <v>19</v>
      </c>
      <c r="B8" s="4" t="s">
        <v>40</v>
      </c>
      <c r="C8" t="s">
        <v>72</v>
      </c>
      <c r="D8" s="4" t="s">
        <v>17</v>
      </c>
      <c r="E8" s="5">
        <v>58418</v>
      </c>
      <c r="F8" s="75">
        <v>7860</v>
      </c>
      <c r="G8" s="5">
        <f t="shared" si="0"/>
        <v>50558</v>
      </c>
      <c r="H8" s="6">
        <v>3437</v>
      </c>
      <c r="I8" s="7">
        <v>1450.7</v>
      </c>
      <c r="J8" s="5">
        <f t="shared" si="1"/>
        <v>14.709921443118999</v>
      </c>
      <c r="K8" s="25">
        <f>J8/G14</f>
        <v>1</v>
      </c>
      <c r="L8" s="8">
        <f t="shared" si="2"/>
        <v>2.369201075342938</v>
      </c>
      <c r="M8" s="26" t="s">
        <v>39</v>
      </c>
    </row>
    <row r="9" spans="1:13" x14ac:dyDescent="0.25">
      <c r="A9" t="s">
        <v>76</v>
      </c>
      <c r="B9" s="4" t="s">
        <v>75</v>
      </c>
      <c r="C9" t="s">
        <v>72</v>
      </c>
      <c r="D9" s="4" t="s">
        <v>14</v>
      </c>
      <c r="E9" s="5">
        <v>1151172.3004733501</v>
      </c>
      <c r="F9" s="75">
        <v>72926.42</v>
      </c>
      <c r="G9" s="5">
        <f t="shared" si="0"/>
        <v>1078245.8804733502</v>
      </c>
      <c r="H9" s="6">
        <v>32798</v>
      </c>
      <c r="I9" s="7">
        <v>11561.210000000001</v>
      </c>
      <c r="J9" s="5">
        <f t="shared" si="1"/>
        <v>32.875354609224651</v>
      </c>
      <c r="K9" s="25">
        <f>J9/G13</f>
        <v>1.3747870113368077</v>
      </c>
      <c r="L9" s="8">
        <f t="shared" si="2"/>
        <v>2.8369002898485536</v>
      </c>
      <c r="M9" s="26"/>
    </row>
    <row r="11" spans="1:13" ht="15.75" thickBot="1" x14ac:dyDescent="0.3"/>
    <row r="12" spans="1:13" ht="36" x14ac:dyDescent="0.25">
      <c r="F12" s="70" t="s">
        <v>20</v>
      </c>
      <c r="G12" s="58" t="s">
        <v>21</v>
      </c>
      <c r="H12" s="58" t="s">
        <v>22</v>
      </c>
      <c r="I12" s="58" t="s">
        <v>23</v>
      </c>
      <c r="J12" s="59" t="s">
        <v>24</v>
      </c>
    </row>
    <row r="13" spans="1:13" x14ac:dyDescent="0.25">
      <c r="F13" s="60" t="s">
        <v>14</v>
      </c>
      <c r="G13" s="61">
        <f>AVERAGEIF($D$5:$D$9,"Weekday",J5:J9)</f>
        <v>23.9130529588416</v>
      </c>
      <c r="H13" s="62">
        <f>G13*1.2</f>
        <v>28.695663550609918</v>
      </c>
      <c r="I13" s="63">
        <f>G13*1.35</f>
        <v>32.282621494436164</v>
      </c>
      <c r="J13" s="64">
        <f>G13*1.6</f>
        <v>38.260884734146565</v>
      </c>
    </row>
    <row r="14" spans="1:13" x14ac:dyDescent="0.25">
      <c r="F14" s="60" t="s">
        <v>17</v>
      </c>
      <c r="G14" s="61">
        <f>AVERAGEIF($D$5:$D$9,"Saturday",J5:J9)</f>
        <v>14.709921443118999</v>
      </c>
      <c r="H14" s="62">
        <f>G14*1.2</f>
        <v>17.651905731742797</v>
      </c>
      <c r="I14" s="63">
        <f>G14*1.35</f>
        <v>19.858393948210651</v>
      </c>
      <c r="J14" s="64">
        <f>G14*1.6</f>
        <v>23.535874308990401</v>
      </c>
    </row>
    <row r="15" spans="1:13" ht="15.75" thickBot="1" x14ac:dyDescent="0.3">
      <c r="F15" s="65" t="s">
        <v>18</v>
      </c>
      <c r="G15" s="66" t="e">
        <f>AVERAGEIF($D$5:$D$9,"Sunday",J5:J9)</f>
        <v>#DIV/0!</v>
      </c>
      <c r="H15" s="67" t="e">
        <f>G15*1.2</f>
        <v>#DIV/0!</v>
      </c>
      <c r="I15" s="68" t="e">
        <f>G15*1.35</f>
        <v>#DIV/0!</v>
      </c>
      <c r="J15" s="69" t="e">
        <f>G15*1.6</f>
        <v>#DIV/0!</v>
      </c>
    </row>
  </sheetData>
  <mergeCells count="1">
    <mergeCell ref="A2:M2"/>
  </mergeCells>
  <conditionalFormatting sqref="K1">
    <cfRule type="cellIs" dxfId="3" priority="9" operator="greaterThan">
      <formula>1.6</formula>
    </cfRule>
  </conditionalFormatting>
  <conditionalFormatting sqref="L5:L9">
    <cfRule type="cellIs" dxfId="2" priority="1" operator="lessThan">
      <formula>2</formula>
    </cfRule>
  </conditionalFormatting>
  <pageMargins left="0.7" right="0.7" top="0.75" bottom="0.75" header="0.3" footer="0.3"/>
  <pageSetup scale="58" fitToHeight="0" orientation="landscape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A01EF-8A2F-4F3C-8B64-52FBA35D694E}">
  <sheetPr>
    <pageSetUpPr fitToPage="1"/>
  </sheetPr>
  <dimension ref="A1:M5"/>
  <sheetViews>
    <sheetView workbookViewId="0">
      <selection activeCell="J5" sqref="J5"/>
    </sheetView>
  </sheetViews>
  <sheetFormatPr defaultRowHeight="15" x14ac:dyDescent="0.25"/>
  <cols>
    <col min="1" max="1" width="20.7109375" customWidth="1"/>
    <col min="2" max="2" width="14.42578125" bestFit="1" customWidth="1"/>
    <col min="3" max="3" width="20.7109375" customWidth="1"/>
    <col min="4" max="4" width="10.7109375" customWidth="1"/>
    <col min="5" max="5" width="13.85546875" bestFit="1" customWidth="1"/>
    <col min="6" max="6" width="13.5703125" bestFit="1" customWidth="1"/>
    <col min="7" max="7" width="13.85546875" bestFit="1" customWidth="1"/>
    <col min="8" max="10" width="11.7109375" customWidth="1"/>
    <col min="11" max="11" width="14.140625" customWidth="1"/>
    <col min="12" max="12" width="11.7109375" customWidth="1"/>
    <col min="13" max="13" width="35.7109375" customWidth="1"/>
  </cols>
  <sheetData>
    <row r="1" spans="1:13" ht="18.75" x14ac:dyDescent="0.3">
      <c r="A1" s="15" t="s">
        <v>41</v>
      </c>
    </row>
    <row r="2" spans="1:13" ht="46.5" x14ac:dyDescent="0.7">
      <c r="A2" s="148" t="s">
        <v>67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15" customHeight="1" thickBot="1" x14ac:dyDescent="0.75">
      <c r="A3" s="56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48" x14ac:dyDescent="0.25">
      <c r="A4" s="17" t="s">
        <v>2</v>
      </c>
      <c r="B4" s="18" t="s">
        <v>3</v>
      </c>
      <c r="C4" s="19" t="s">
        <v>4</v>
      </c>
      <c r="D4" s="19" t="s">
        <v>5</v>
      </c>
      <c r="E4" s="20" t="s">
        <v>6</v>
      </c>
      <c r="F4" s="71" t="s">
        <v>7</v>
      </c>
      <c r="G4" s="20" t="s">
        <v>8</v>
      </c>
      <c r="H4" s="21" t="s">
        <v>9</v>
      </c>
      <c r="I4" s="21" t="s">
        <v>10</v>
      </c>
      <c r="J4" s="22" t="s">
        <v>11</v>
      </c>
      <c r="K4" s="23" t="s">
        <v>12</v>
      </c>
      <c r="L4" s="23" t="s">
        <v>13</v>
      </c>
      <c r="M4" s="57" t="s">
        <v>90</v>
      </c>
    </row>
    <row r="5" spans="1:13" ht="15.75" thickBot="1" x14ac:dyDescent="0.3">
      <c r="A5" t="s">
        <v>15</v>
      </c>
      <c r="B5" s="4" t="s">
        <v>42</v>
      </c>
      <c r="C5" t="s">
        <v>43</v>
      </c>
      <c r="D5" s="4" t="s">
        <v>69</v>
      </c>
      <c r="E5" s="5">
        <v>80276020</v>
      </c>
      <c r="F5" s="75">
        <v>3981149</v>
      </c>
      <c r="G5" s="5">
        <f>E5-F5</f>
        <v>76294871</v>
      </c>
      <c r="H5" s="6">
        <v>1414660</v>
      </c>
      <c r="I5" s="7">
        <v>1120132</v>
      </c>
      <c r="J5" s="30">
        <f>G5/H5</f>
        <v>53.93159557773599</v>
      </c>
      <c r="K5" s="48">
        <v>1</v>
      </c>
      <c r="L5" s="33">
        <f>H5/I5</f>
        <v>1.2629404391625272</v>
      </c>
      <c r="M5" s="35"/>
    </row>
  </sheetData>
  <mergeCells count="1">
    <mergeCell ref="A2:M2"/>
  </mergeCells>
  <conditionalFormatting sqref="K1">
    <cfRule type="cellIs" dxfId="1" priority="1" operator="greaterThan">
      <formula>1.6</formula>
    </cfRule>
  </conditionalFormatting>
  <pageMargins left="0.7" right="0.7" top="0.75" bottom="0.75" header="0.3" footer="0.3"/>
  <pageSetup scale="62" fitToHeight="0" orientation="landscape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C7927-4036-41DB-B5B7-492B04A3BC3E}">
  <sheetPr>
    <pageSetUpPr fitToPage="1"/>
  </sheetPr>
  <dimension ref="A1:M5"/>
  <sheetViews>
    <sheetView workbookViewId="0">
      <selection activeCell="B10" sqref="B10"/>
    </sheetView>
  </sheetViews>
  <sheetFormatPr defaultRowHeight="15" x14ac:dyDescent="0.25"/>
  <cols>
    <col min="1" max="1" width="20.7109375" customWidth="1"/>
    <col min="2" max="2" width="14.42578125" bestFit="1" customWidth="1"/>
    <col min="3" max="3" width="20.7109375" customWidth="1"/>
    <col min="4" max="4" width="10.7109375" customWidth="1"/>
    <col min="5" max="10" width="11.7109375" customWidth="1"/>
    <col min="11" max="11" width="14.140625" customWidth="1"/>
    <col min="12" max="12" width="11.7109375" customWidth="1"/>
    <col min="13" max="13" width="35.7109375" customWidth="1"/>
  </cols>
  <sheetData>
    <row r="1" spans="1:13" ht="18.75" x14ac:dyDescent="0.3">
      <c r="A1" s="15" t="s">
        <v>44</v>
      </c>
    </row>
    <row r="2" spans="1:13" ht="46.5" x14ac:dyDescent="0.7">
      <c r="A2" s="148" t="s">
        <v>68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15" customHeight="1" thickBot="1" x14ac:dyDescent="0.75">
      <c r="A3" s="56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48" x14ac:dyDescent="0.25">
      <c r="A4" s="17" t="s">
        <v>2</v>
      </c>
      <c r="B4" s="18" t="s">
        <v>3</v>
      </c>
      <c r="C4" s="19" t="s">
        <v>4</v>
      </c>
      <c r="D4" s="19" t="s">
        <v>5</v>
      </c>
      <c r="E4" s="20" t="s">
        <v>6</v>
      </c>
      <c r="F4" s="71" t="s">
        <v>7</v>
      </c>
      <c r="G4" s="20" t="s">
        <v>8</v>
      </c>
      <c r="H4" s="21" t="s">
        <v>9</v>
      </c>
      <c r="I4" s="21" t="s">
        <v>10</v>
      </c>
      <c r="J4" s="22" t="s">
        <v>11</v>
      </c>
      <c r="K4" s="23" t="s">
        <v>12</v>
      </c>
      <c r="L4" s="23" t="s">
        <v>13</v>
      </c>
      <c r="M4" s="57" t="s">
        <v>90</v>
      </c>
    </row>
    <row r="5" spans="1:13" ht="15.75" thickBot="1" x14ac:dyDescent="0.3">
      <c r="A5" s="101" t="s">
        <v>15</v>
      </c>
      <c r="B5" s="102" t="s">
        <v>45</v>
      </c>
      <c r="C5" s="101" t="s">
        <v>46</v>
      </c>
      <c r="D5" s="102" t="s">
        <v>69</v>
      </c>
      <c r="E5" s="103">
        <v>632074</v>
      </c>
      <c r="F5" s="104">
        <v>338501</v>
      </c>
      <c r="G5" s="103">
        <f>E5-F5</f>
        <v>293573</v>
      </c>
      <c r="H5" s="105">
        <v>56594</v>
      </c>
      <c r="I5" s="106">
        <v>16434</v>
      </c>
      <c r="J5" s="30">
        <f>G5/H5</f>
        <v>5.1873520161147821</v>
      </c>
      <c r="K5" s="48">
        <v>1</v>
      </c>
      <c r="L5" s="33">
        <f>H5/I5</f>
        <v>3.4437142509431666</v>
      </c>
      <c r="M5" s="35"/>
    </row>
  </sheetData>
  <mergeCells count="1">
    <mergeCell ref="A2:M2"/>
  </mergeCells>
  <conditionalFormatting sqref="K1">
    <cfRule type="cellIs" dxfId="0" priority="1" operator="greaterThan">
      <formula>1.6</formula>
    </cfRule>
  </conditionalFormatting>
  <pageMargins left="0.7" right="0.7" top="0.75" bottom="0.75" header="0.3" footer="0.3"/>
  <pageSetup scale="62" fitToHeight="0" orientation="landscape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9"/>
  <sheetViews>
    <sheetView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13.140625" bestFit="1" customWidth="1"/>
    <col min="2" max="2" width="14.42578125" style="4" bestFit="1" customWidth="1"/>
    <col min="3" max="3" width="25.28515625" bestFit="1" customWidth="1"/>
    <col min="4" max="4" width="18.85546875" bestFit="1" customWidth="1"/>
    <col min="5" max="5" width="16.42578125" style="5" bestFit="1" customWidth="1"/>
    <col min="6" max="6" width="19.7109375" style="5" bestFit="1" customWidth="1"/>
    <col min="7" max="7" width="22" style="6" bestFit="1" customWidth="1"/>
    <col min="8" max="8" width="22.28515625" bestFit="1" customWidth="1"/>
    <col min="9" max="9" width="18" bestFit="1" customWidth="1"/>
    <col min="10" max="10" width="22.7109375" bestFit="1" customWidth="1"/>
    <col min="11" max="11" width="22.140625" bestFit="1" customWidth="1"/>
    <col min="12" max="12" width="28.28515625" bestFit="1" customWidth="1"/>
    <col min="13" max="13" width="49" bestFit="1" customWidth="1"/>
  </cols>
  <sheetData>
    <row r="1" spans="1:13" ht="15.75" x14ac:dyDescent="0.25">
      <c r="A1" s="1" t="s">
        <v>2</v>
      </c>
      <c r="B1" s="1" t="s">
        <v>47</v>
      </c>
      <c r="C1" s="1" t="s">
        <v>48</v>
      </c>
      <c r="D1" s="1" t="s">
        <v>5</v>
      </c>
      <c r="E1" s="2" t="s">
        <v>6</v>
      </c>
      <c r="F1" s="2" t="s">
        <v>49</v>
      </c>
      <c r="G1" s="3" t="s">
        <v>50</v>
      </c>
      <c r="H1" s="3" t="s">
        <v>51</v>
      </c>
      <c r="I1" s="1" t="s">
        <v>52</v>
      </c>
      <c r="J1" s="2" t="s">
        <v>53</v>
      </c>
      <c r="K1" s="1" t="s">
        <v>54</v>
      </c>
      <c r="L1" s="1" t="s">
        <v>55</v>
      </c>
      <c r="M1" s="1" t="s">
        <v>83</v>
      </c>
    </row>
    <row r="2" spans="1:13" x14ac:dyDescent="0.25">
      <c r="A2" t="s">
        <v>15</v>
      </c>
      <c r="B2" s="4" t="s">
        <v>42</v>
      </c>
      <c r="C2" t="s">
        <v>43</v>
      </c>
      <c r="D2" s="4" t="s">
        <v>69</v>
      </c>
      <c r="E2" s="5">
        <v>82783426</v>
      </c>
      <c r="F2" s="75">
        <v>6119189</v>
      </c>
      <c r="G2" s="6">
        <v>1799890</v>
      </c>
      <c r="H2" s="7">
        <v>1287167</v>
      </c>
      <c r="I2" s="5">
        <f t="shared" ref="I2:I65" si="0">E2-F2</f>
        <v>76664237</v>
      </c>
      <c r="J2" s="5">
        <f t="shared" ref="J2:J65" si="1">I2/G2</f>
        <v>42.59384573501714</v>
      </c>
      <c r="K2" s="76">
        <f t="shared" ref="K2:K65" si="2">F2/E2</f>
        <v>7.3918044899470584E-2</v>
      </c>
      <c r="L2" s="77">
        <f t="shared" ref="L2:L65" si="3">G2/H2</f>
        <v>1.3983344818504515</v>
      </c>
    </row>
    <row r="3" spans="1:13" x14ac:dyDescent="0.25">
      <c r="A3" t="s">
        <v>79</v>
      </c>
      <c r="B3" s="4">
        <v>921</v>
      </c>
      <c r="C3" t="str">
        <f>VLOOKUP(B3,'[1]Route types'!A:B,2,FALSE)</f>
        <v>BRT - Arterial</v>
      </c>
      <c r="D3" s="4" t="s">
        <v>14</v>
      </c>
      <c r="E3" s="5">
        <v>6648625.6196498228</v>
      </c>
      <c r="F3" s="75">
        <v>744324.99432109739</v>
      </c>
      <c r="G3" s="6">
        <v>711937</v>
      </c>
      <c r="H3" s="7">
        <v>26912.650000000103</v>
      </c>
      <c r="I3" s="5">
        <f t="shared" si="0"/>
        <v>5904300.6253287252</v>
      </c>
      <c r="J3" s="5">
        <f t="shared" si="1"/>
        <v>8.2932908745137919</v>
      </c>
      <c r="K3" s="76">
        <f t="shared" si="2"/>
        <v>0.11195170805245315</v>
      </c>
      <c r="L3" s="77">
        <f t="shared" si="3"/>
        <v>26.453619394596863</v>
      </c>
    </row>
    <row r="4" spans="1:13" x14ac:dyDescent="0.25">
      <c r="A4" t="s">
        <v>79</v>
      </c>
      <c r="B4" s="4">
        <v>923</v>
      </c>
      <c r="C4" t="str">
        <f>VLOOKUP(B4,'[1]Route types'!A:B,2,FALSE)</f>
        <v>BRT - Arterial</v>
      </c>
      <c r="D4" s="4" t="s">
        <v>14</v>
      </c>
      <c r="E4" s="5">
        <v>7334293.7288185144</v>
      </c>
      <c r="F4" s="75">
        <v>464390.18239735533</v>
      </c>
      <c r="G4" s="6">
        <v>958253</v>
      </c>
      <c r="H4" s="7">
        <v>28792.670000000071</v>
      </c>
      <c r="I4" s="5">
        <f t="shared" si="0"/>
        <v>6869903.5464211591</v>
      </c>
      <c r="J4" s="5">
        <f t="shared" si="1"/>
        <v>7.16919597060605</v>
      </c>
      <c r="K4" s="76">
        <f t="shared" si="2"/>
        <v>6.3317641693655516E-2</v>
      </c>
      <c r="L4" s="77">
        <f t="shared" si="3"/>
        <v>33.281144124528836</v>
      </c>
    </row>
    <row r="5" spans="1:13" x14ac:dyDescent="0.25">
      <c r="A5" t="s">
        <v>79</v>
      </c>
      <c r="B5" s="4">
        <v>921</v>
      </c>
      <c r="C5" t="str">
        <f>VLOOKUP(B5,'[1]Route types'!A:B,2,FALSE)</f>
        <v>BRT - Arterial</v>
      </c>
      <c r="D5" s="4" t="s">
        <v>17</v>
      </c>
      <c r="E5" s="5">
        <v>1280919.7944361379</v>
      </c>
      <c r="F5" s="75">
        <v>134087.68144230996</v>
      </c>
      <c r="G5" s="6">
        <v>135870</v>
      </c>
      <c r="H5" s="7">
        <v>5090.0399999999972</v>
      </c>
      <c r="I5" s="5">
        <f t="shared" si="0"/>
        <v>1146832.112993828</v>
      </c>
      <c r="J5" s="5">
        <f t="shared" si="1"/>
        <v>8.4406573415310806</v>
      </c>
      <c r="K5" s="76">
        <f t="shared" si="2"/>
        <v>0.10468077862856003</v>
      </c>
      <c r="L5" s="77">
        <f t="shared" si="3"/>
        <v>26.69330692882572</v>
      </c>
    </row>
    <row r="6" spans="1:13" x14ac:dyDescent="0.25">
      <c r="A6" t="s">
        <v>79</v>
      </c>
      <c r="B6" s="4">
        <v>923</v>
      </c>
      <c r="C6" t="str">
        <f>VLOOKUP(B6,'[1]Route types'!A:B,2,FALSE)</f>
        <v>BRT - Arterial</v>
      </c>
      <c r="D6" s="4" t="s">
        <v>17</v>
      </c>
      <c r="E6" s="5">
        <v>1265921.5767558145</v>
      </c>
      <c r="F6" s="75">
        <v>57098.453361978689</v>
      </c>
      <c r="G6" s="6">
        <v>151198</v>
      </c>
      <c r="H6" s="7">
        <v>4874.909999999998</v>
      </c>
      <c r="I6" s="5">
        <f t="shared" si="0"/>
        <v>1208823.1233938357</v>
      </c>
      <c r="J6" s="5">
        <f t="shared" si="1"/>
        <v>7.9949676807486592</v>
      </c>
      <c r="K6" s="76">
        <f t="shared" si="2"/>
        <v>4.5104257965414625E-2</v>
      </c>
      <c r="L6" s="77">
        <f t="shared" si="3"/>
        <v>31.015546953687362</v>
      </c>
    </row>
    <row r="7" spans="1:13" x14ac:dyDescent="0.25">
      <c r="A7" t="s">
        <v>79</v>
      </c>
      <c r="B7" s="4">
        <v>921</v>
      </c>
      <c r="C7" t="str">
        <f>VLOOKUP(B7,'[1]Route types'!A:B,2,FALSE)</f>
        <v>BRT - Arterial</v>
      </c>
      <c r="D7" s="4" t="s">
        <v>18</v>
      </c>
      <c r="E7" s="5">
        <v>1254016.2812157876</v>
      </c>
      <c r="F7" s="75">
        <v>102193.40511436194</v>
      </c>
      <c r="G7" s="6">
        <v>115661</v>
      </c>
      <c r="H7" s="7">
        <v>5188.8900000000049</v>
      </c>
      <c r="I7" s="5">
        <f t="shared" si="0"/>
        <v>1151822.8761014256</v>
      </c>
      <c r="J7" s="5">
        <f t="shared" si="1"/>
        <v>9.9586107339675909</v>
      </c>
      <c r="K7" s="76">
        <f t="shared" si="2"/>
        <v>8.1492885415557687E-2</v>
      </c>
      <c r="L7" s="77">
        <f t="shared" si="3"/>
        <v>22.290123706611606</v>
      </c>
    </row>
    <row r="8" spans="1:13" x14ac:dyDescent="0.25">
      <c r="A8" t="s">
        <v>79</v>
      </c>
      <c r="B8" s="4">
        <v>923</v>
      </c>
      <c r="C8" t="str">
        <f>VLOOKUP(B8,'[1]Route types'!A:B,2,FALSE)</f>
        <v>BRT - Arterial</v>
      </c>
      <c r="D8" s="4" t="s">
        <v>18</v>
      </c>
      <c r="E8" s="5">
        <v>1407222.2974985796</v>
      </c>
      <c r="F8" s="75">
        <v>48141.165795322602</v>
      </c>
      <c r="G8" s="6">
        <v>142354</v>
      </c>
      <c r="H8" s="7">
        <v>5345.34</v>
      </c>
      <c r="I8" s="5">
        <f t="shared" si="0"/>
        <v>1359081.1317032571</v>
      </c>
      <c r="J8" s="5">
        <f t="shared" si="1"/>
        <v>9.547193136148314</v>
      </c>
      <c r="K8" s="76">
        <f t="shared" si="2"/>
        <v>3.4210064664905011E-2</v>
      </c>
      <c r="L8" s="77">
        <f t="shared" si="3"/>
        <v>26.631421013443486</v>
      </c>
    </row>
    <row r="9" spans="1:13" x14ac:dyDescent="0.25">
      <c r="A9" t="s">
        <v>79</v>
      </c>
      <c r="B9" s="4">
        <v>903</v>
      </c>
      <c r="C9" t="str">
        <f>VLOOKUP(B9,'[1]Route types'!A:B,2,FALSE)</f>
        <v>BRT - HIghway</v>
      </c>
      <c r="D9" s="4" t="s">
        <v>14</v>
      </c>
      <c r="E9" s="5">
        <v>2249402.0857666992</v>
      </c>
      <c r="F9" s="75">
        <v>60226.002645272631</v>
      </c>
      <c r="G9" s="6">
        <v>82846.451166069863</v>
      </c>
      <c r="H9" s="7">
        <v>8563.6400000000231</v>
      </c>
      <c r="I9" s="5">
        <f t="shared" si="0"/>
        <v>2189176.0831214264</v>
      </c>
      <c r="J9" s="5">
        <f t="shared" si="1"/>
        <v>26.424500413821146</v>
      </c>
      <c r="K9" s="76">
        <f t="shared" si="2"/>
        <v>2.6774227260816668E-2</v>
      </c>
      <c r="L9" s="77">
        <f t="shared" si="3"/>
        <v>9.6742099348022155</v>
      </c>
    </row>
    <row r="10" spans="1:13" x14ac:dyDescent="0.25">
      <c r="A10" t="s">
        <v>79</v>
      </c>
      <c r="B10" s="4">
        <v>904</v>
      </c>
      <c r="C10" t="s">
        <v>80</v>
      </c>
      <c r="D10" s="4" t="s">
        <v>14</v>
      </c>
      <c r="E10" s="5">
        <v>354475.0607457335</v>
      </c>
      <c r="F10" s="75">
        <v>6026.4611303214497</v>
      </c>
      <c r="G10" s="6">
        <v>9572.6878722545516</v>
      </c>
      <c r="H10" s="7">
        <v>1566.7800000000004</v>
      </c>
      <c r="I10" s="5">
        <f t="shared" si="0"/>
        <v>348448.59961541207</v>
      </c>
      <c r="J10" s="5">
        <f t="shared" si="1"/>
        <v>36.400288431565222</v>
      </c>
      <c r="K10" s="76">
        <f t="shared" si="2"/>
        <v>1.7001086388540761E-2</v>
      </c>
      <c r="L10" s="77">
        <f t="shared" si="3"/>
        <v>6.1097843170416706</v>
      </c>
    </row>
    <row r="11" spans="1:13" x14ac:dyDescent="0.25">
      <c r="A11" t="s">
        <v>79</v>
      </c>
      <c r="B11" s="4">
        <v>903</v>
      </c>
      <c r="C11" t="str">
        <f>VLOOKUP(B11,'[1]Route types'!A:B,2,FALSE)</f>
        <v>BRT - HIghway</v>
      </c>
      <c r="D11" s="4" t="s">
        <v>17</v>
      </c>
      <c r="E11" s="5">
        <v>325625.78857045731</v>
      </c>
      <c r="F11" s="75">
        <v>9835.3441193210383</v>
      </c>
      <c r="G11" s="6">
        <v>15198.182209966502</v>
      </c>
      <c r="H11" s="7">
        <v>1243.8300000000008</v>
      </c>
      <c r="I11" s="5">
        <f t="shared" si="0"/>
        <v>315790.44445113628</v>
      </c>
      <c r="J11" s="5">
        <f t="shared" si="1"/>
        <v>20.778172026655305</v>
      </c>
      <c r="K11" s="76">
        <f t="shared" si="2"/>
        <v>3.0204438544316693E-2</v>
      </c>
      <c r="L11" s="77">
        <f t="shared" si="3"/>
        <v>12.218858051314482</v>
      </c>
    </row>
    <row r="12" spans="1:13" x14ac:dyDescent="0.25">
      <c r="A12" t="s">
        <v>79</v>
      </c>
      <c r="B12" s="4">
        <v>904</v>
      </c>
      <c r="C12" t="s">
        <v>80</v>
      </c>
      <c r="D12" s="4" t="s">
        <v>17</v>
      </c>
      <c r="E12" s="5">
        <v>25936.361376479064</v>
      </c>
      <c r="F12" s="75">
        <v>100.19536079157099</v>
      </c>
      <c r="G12" s="6">
        <v>1211.9881116558415</v>
      </c>
      <c r="H12" s="7">
        <v>115.26</v>
      </c>
      <c r="I12" s="5">
        <f t="shared" si="0"/>
        <v>25836.166015687493</v>
      </c>
      <c r="J12" s="5">
        <f t="shared" si="1"/>
        <v>21.317177757123066</v>
      </c>
      <c r="K12" s="76">
        <f t="shared" si="2"/>
        <v>3.8631232553088678E-3</v>
      </c>
      <c r="L12" s="77">
        <f t="shared" si="3"/>
        <v>10.515253441400672</v>
      </c>
    </row>
    <row r="13" spans="1:13" x14ac:dyDescent="0.25">
      <c r="A13" t="s">
        <v>79</v>
      </c>
      <c r="B13" s="4">
        <v>903</v>
      </c>
      <c r="C13" t="str">
        <f>VLOOKUP(B13,'[1]Route types'!A:B,2,FALSE)</f>
        <v>BRT - HIghway</v>
      </c>
      <c r="D13" s="4" t="s">
        <v>18</v>
      </c>
      <c r="E13" s="5">
        <v>363320.1634802827</v>
      </c>
      <c r="F13" s="75">
        <v>7814.9758236822454</v>
      </c>
      <c r="G13" s="6">
        <v>14661.763282371237</v>
      </c>
      <c r="H13" s="7">
        <v>1388.170000000001</v>
      </c>
      <c r="I13" s="5">
        <f t="shared" si="0"/>
        <v>355505.18765660044</v>
      </c>
      <c r="J13" s="5">
        <f t="shared" si="1"/>
        <v>24.247096396928381</v>
      </c>
      <c r="K13" s="76">
        <f t="shared" si="2"/>
        <v>2.1509887446988233E-2</v>
      </c>
      <c r="L13" s="77">
        <f t="shared" si="3"/>
        <v>10.561936421599103</v>
      </c>
    </row>
    <row r="14" spans="1:13" x14ac:dyDescent="0.25">
      <c r="A14" t="s">
        <v>79</v>
      </c>
      <c r="B14" s="4">
        <v>904</v>
      </c>
      <c r="C14" t="s">
        <v>80</v>
      </c>
      <c r="D14" s="4" t="s">
        <v>18</v>
      </c>
      <c r="E14" s="5">
        <v>40846.209852793079</v>
      </c>
      <c r="F14" s="75">
        <v>161.47186243269704</v>
      </c>
      <c r="G14" s="6">
        <v>987.86059933385854</v>
      </c>
      <c r="H14" s="7">
        <v>180.75</v>
      </c>
      <c r="I14" s="5">
        <f t="shared" si="0"/>
        <v>40684.73799036038</v>
      </c>
      <c r="J14" s="5">
        <f t="shared" si="1"/>
        <v>41.184695510475073</v>
      </c>
      <c r="K14" s="76">
        <f t="shared" si="2"/>
        <v>3.9531663528790178E-3</v>
      </c>
      <c r="L14" s="77">
        <f t="shared" si="3"/>
        <v>5.465342181653436</v>
      </c>
    </row>
    <row r="15" spans="1:13" x14ac:dyDescent="0.25">
      <c r="A15" t="s">
        <v>15</v>
      </c>
      <c r="B15" s="4">
        <v>664</v>
      </c>
      <c r="C15" t="s">
        <v>56</v>
      </c>
      <c r="D15" s="4" t="s">
        <v>14</v>
      </c>
      <c r="E15" s="5">
        <v>129667.88745234985</v>
      </c>
      <c r="F15" s="75">
        <v>4807.2340000000013</v>
      </c>
      <c r="G15" s="6">
        <v>2042</v>
      </c>
      <c r="H15" s="7">
        <v>423</v>
      </c>
      <c r="I15" s="5">
        <f t="shared" si="0"/>
        <v>124860.65345234986</v>
      </c>
      <c r="J15" s="5">
        <f t="shared" si="1"/>
        <v>61.146255363540575</v>
      </c>
      <c r="K15" s="76">
        <f t="shared" si="2"/>
        <v>3.7073435022734955E-2</v>
      </c>
      <c r="L15" s="77">
        <f t="shared" si="3"/>
        <v>4.8274231678486998</v>
      </c>
    </row>
    <row r="16" spans="1:13" x14ac:dyDescent="0.25">
      <c r="A16" t="s">
        <v>15</v>
      </c>
      <c r="B16" s="4">
        <v>670</v>
      </c>
      <c r="C16" t="s">
        <v>56</v>
      </c>
      <c r="D16" s="4" t="s">
        <v>14</v>
      </c>
      <c r="E16" s="5">
        <v>173723.89499640124</v>
      </c>
      <c r="F16" s="75">
        <v>5010.2140000000009</v>
      </c>
      <c r="G16" s="6">
        <v>2251</v>
      </c>
      <c r="H16" s="7">
        <v>564</v>
      </c>
      <c r="I16" s="5">
        <f t="shared" si="0"/>
        <v>168713.68099640124</v>
      </c>
      <c r="J16" s="5">
        <f t="shared" si="1"/>
        <v>74.950546866459902</v>
      </c>
      <c r="K16" s="76">
        <f t="shared" si="2"/>
        <v>2.8840097098351319E-2</v>
      </c>
      <c r="L16" s="77">
        <f t="shared" si="3"/>
        <v>3.9911347517730498</v>
      </c>
    </row>
    <row r="17" spans="1:12" x14ac:dyDescent="0.25">
      <c r="A17" t="s">
        <v>73</v>
      </c>
      <c r="B17" s="4">
        <v>781</v>
      </c>
      <c r="C17" t="s">
        <v>56</v>
      </c>
      <c r="D17" s="4" t="s">
        <v>14</v>
      </c>
      <c r="E17" s="5">
        <v>1587718.7782076411</v>
      </c>
      <c r="F17" s="75">
        <v>171270.45890944201</v>
      </c>
      <c r="G17" s="6">
        <v>62239</v>
      </c>
      <c r="H17" s="7">
        <v>5865.6</v>
      </c>
      <c r="I17" s="5">
        <f t="shared" si="0"/>
        <v>1416448.3192981991</v>
      </c>
      <c r="J17" s="5">
        <f t="shared" si="1"/>
        <v>22.758211399575814</v>
      </c>
      <c r="K17" s="76">
        <f t="shared" si="2"/>
        <v>0.10787203707623047</v>
      </c>
      <c r="L17" s="77">
        <f t="shared" si="3"/>
        <v>10.610849699945444</v>
      </c>
    </row>
    <row r="18" spans="1:12" x14ac:dyDescent="0.25">
      <c r="A18" t="s">
        <v>73</v>
      </c>
      <c r="B18" s="4">
        <v>785</v>
      </c>
      <c r="C18" t="s">
        <v>56</v>
      </c>
      <c r="D18" s="4" t="s">
        <v>14</v>
      </c>
      <c r="E18" s="5">
        <v>125254.24895964775</v>
      </c>
      <c r="F18" s="75">
        <v>13511.430987730555</v>
      </c>
      <c r="G18" s="6">
        <v>4910</v>
      </c>
      <c r="H18" s="7">
        <v>643.4</v>
      </c>
      <c r="I18" s="5">
        <f t="shared" si="0"/>
        <v>111742.8179719172</v>
      </c>
      <c r="J18" s="5">
        <f t="shared" si="1"/>
        <v>22.758211399575806</v>
      </c>
      <c r="K18" s="76">
        <f t="shared" si="2"/>
        <v>0.10787203707623072</v>
      </c>
      <c r="L18" s="77">
        <f t="shared" si="3"/>
        <v>7.6313335405657448</v>
      </c>
    </row>
    <row r="19" spans="1:12" x14ac:dyDescent="0.25">
      <c r="A19" t="s">
        <v>73</v>
      </c>
      <c r="B19" s="4">
        <v>789</v>
      </c>
      <c r="C19" t="s">
        <v>56</v>
      </c>
      <c r="D19" s="4" t="s">
        <v>14</v>
      </c>
      <c r="E19" s="5">
        <v>187371.17283271137</v>
      </c>
      <c r="F19" s="75">
        <v>20212.110102827071</v>
      </c>
      <c r="G19" s="6">
        <v>7345</v>
      </c>
      <c r="H19" s="7">
        <v>342.09999999999997</v>
      </c>
      <c r="I19" s="5">
        <f t="shared" si="0"/>
        <v>167159.06272988429</v>
      </c>
      <c r="J19" s="5">
        <f t="shared" si="1"/>
        <v>22.758211399575806</v>
      </c>
      <c r="K19" s="76">
        <f t="shared" si="2"/>
        <v>0.10787203707623071</v>
      </c>
      <c r="L19" s="77">
        <f t="shared" si="3"/>
        <v>21.470330312774045</v>
      </c>
    </row>
    <row r="20" spans="1:12" x14ac:dyDescent="0.25">
      <c r="A20" t="s">
        <v>19</v>
      </c>
      <c r="B20" s="4">
        <v>690</v>
      </c>
      <c r="C20" t="s">
        <v>56</v>
      </c>
      <c r="D20" s="4" t="s">
        <v>14</v>
      </c>
      <c r="E20" s="5">
        <v>1888147</v>
      </c>
      <c r="F20" s="75">
        <f>53536+1838</f>
        <v>55374</v>
      </c>
      <c r="G20" s="6">
        <v>18728</v>
      </c>
      <c r="H20" s="7">
        <v>3107.16</v>
      </c>
      <c r="I20" s="5">
        <f t="shared" si="0"/>
        <v>1832773</v>
      </c>
      <c r="J20" s="5">
        <f t="shared" si="1"/>
        <v>97.862718923536946</v>
      </c>
      <c r="K20" s="76">
        <f t="shared" si="2"/>
        <v>2.9327165734447581E-2</v>
      </c>
      <c r="L20" s="77">
        <f t="shared" si="3"/>
        <v>6.0273690444006744</v>
      </c>
    </row>
    <row r="21" spans="1:12" x14ac:dyDescent="0.25">
      <c r="A21" t="s">
        <v>19</v>
      </c>
      <c r="B21" s="4">
        <v>695</v>
      </c>
      <c r="C21" t="s">
        <v>56</v>
      </c>
      <c r="D21" s="4" t="s">
        <v>14</v>
      </c>
      <c r="E21" s="5">
        <v>589259</v>
      </c>
      <c r="F21" s="75">
        <v>29615</v>
      </c>
      <c r="G21" s="6">
        <v>10199</v>
      </c>
      <c r="H21" s="7">
        <v>739.52</v>
      </c>
      <c r="I21" s="5">
        <f t="shared" si="0"/>
        <v>559644</v>
      </c>
      <c r="J21" s="5">
        <f t="shared" si="1"/>
        <v>54.87243847436023</v>
      </c>
      <c r="K21" s="76">
        <f t="shared" si="2"/>
        <v>5.0258035940053528E-2</v>
      </c>
      <c r="L21" s="77">
        <f t="shared" si="3"/>
        <v>13.791378191259195</v>
      </c>
    </row>
    <row r="22" spans="1:12" x14ac:dyDescent="0.25">
      <c r="A22" t="s">
        <v>19</v>
      </c>
      <c r="B22" s="4">
        <v>698</v>
      </c>
      <c r="C22" t="s">
        <v>56</v>
      </c>
      <c r="D22" s="4" t="s">
        <v>14</v>
      </c>
      <c r="E22" s="5">
        <v>3831365</v>
      </c>
      <c r="F22" s="75">
        <v>129699</v>
      </c>
      <c r="G22" s="6">
        <v>48627</v>
      </c>
      <c r="H22" s="7">
        <v>6345.35</v>
      </c>
      <c r="I22" s="5">
        <f t="shared" si="0"/>
        <v>3701666</v>
      </c>
      <c r="J22" s="5">
        <f t="shared" si="1"/>
        <v>76.12367614699653</v>
      </c>
      <c r="K22" s="76">
        <f t="shared" si="2"/>
        <v>3.3851903955900833E-2</v>
      </c>
      <c r="L22" s="77">
        <f t="shared" si="3"/>
        <v>7.6634070618641994</v>
      </c>
    </row>
    <row r="23" spans="1:12" x14ac:dyDescent="0.25">
      <c r="A23" t="s">
        <v>19</v>
      </c>
      <c r="B23" s="4">
        <v>699</v>
      </c>
      <c r="C23" t="s">
        <v>56</v>
      </c>
      <c r="D23" s="4" t="s">
        <v>14</v>
      </c>
      <c r="E23" s="5">
        <v>254402</v>
      </c>
      <c r="F23" s="75">
        <v>8544</v>
      </c>
      <c r="G23" s="6">
        <v>2896</v>
      </c>
      <c r="H23" s="7">
        <v>427.72</v>
      </c>
      <c r="I23" s="5">
        <f t="shared" si="0"/>
        <v>245858</v>
      </c>
      <c r="J23" s="5">
        <f t="shared" si="1"/>
        <v>84.895718232044203</v>
      </c>
      <c r="K23" s="76">
        <f t="shared" si="2"/>
        <v>3.3584641630175861E-2</v>
      </c>
      <c r="L23" s="77">
        <f t="shared" si="3"/>
        <v>6.7707846254559056</v>
      </c>
    </row>
    <row r="24" spans="1:12" x14ac:dyDescent="0.25">
      <c r="A24" t="s">
        <v>19</v>
      </c>
      <c r="B24" s="4">
        <v>600</v>
      </c>
      <c r="C24" t="s">
        <v>56</v>
      </c>
      <c r="D24" s="4" t="s">
        <v>14</v>
      </c>
      <c r="E24" s="5">
        <v>368307</v>
      </c>
      <c r="F24" s="75">
        <v>12018</v>
      </c>
      <c r="G24" s="6">
        <v>5079</v>
      </c>
      <c r="H24" s="7">
        <v>1123.27</v>
      </c>
      <c r="I24" s="5">
        <f t="shared" si="0"/>
        <v>356289</v>
      </c>
      <c r="J24" s="5">
        <f t="shared" si="1"/>
        <v>70.149438865918484</v>
      </c>
      <c r="K24" s="76">
        <f t="shared" si="2"/>
        <v>3.2630387149850532E-2</v>
      </c>
      <c r="L24" s="77">
        <f t="shared" si="3"/>
        <v>4.5216199132888795</v>
      </c>
    </row>
    <row r="25" spans="1:12" x14ac:dyDescent="0.25">
      <c r="A25" t="s">
        <v>16</v>
      </c>
      <c r="B25" s="4">
        <v>460</v>
      </c>
      <c r="C25" t="s">
        <v>56</v>
      </c>
      <c r="D25" s="4" t="s">
        <v>14</v>
      </c>
      <c r="E25" s="78">
        <v>1104987.402830624</v>
      </c>
      <c r="F25" s="78">
        <v>108793.12223856467</v>
      </c>
      <c r="G25">
        <v>42831</v>
      </c>
      <c r="H25">
        <v>3882.1850000000004</v>
      </c>
      <c r="I25" s="5">
        <f t="shared" si="0"/>
        <v>996194.28059205937</v>
      </c>
      <c r="J25" s="5">
        <f t="shared" si="1"/>
        <v>23.258721033645241</v>
      </c>
      <c r="K25" s="76">
        <f t="shared" si="2"/>
        <v>9.8456436661514435E-2</v>
      </c>
      <c r="L25" s="77">
        <f t="shared" si="3"/>
        <v>11.032704520778891</v>
      </c>
    </row>
    <row r="26" spans="1:12" x14ac:dyDescent="0.25">
      <c r="A26" t="s">
        <v>16</v>
      </c>
      <c r="B26" s="4">
        <v>465</v>
      </c>
      <c r="C26" t="s">
        <v>56</v>
      </c>
      <c r="D26" s="4" t="s">
        <v>14</v>
      </c>
      <c r="E26" s="78">
        <v>1134832.9869398882</v>
      </c>
      <c r="F26" s="78">
        <v>118732.04747729002</v>
      </c>
      <c r="G26">
        <v>49703</v>
      </c>
      <c r="H26">
        <v>5952.4390000000003</v>
      </c>
      <c r="I26" s="5">
        <f t="shared" si="0"/>
        <v>1016100.9394625982</v>
      </c>
      <c r="J26" s="5">
        <f t="shared" si="1"/>
        <v>20.443452899474845</v>
      </c>
      <c r="K26" s="76">
        <f t="shared" si="2"/>
        <v>0.10462512884601162</v>
      </c>
      <c r="L26" s="77">
        <f t="shared" si="3"/>
        <v>8.3500225705798918</v>
      </c>
    </row>
    <row r="27" spans="1:12" x14ac:dyDescent="0.25">
      <c r="A27" t="s">
        <v>16</v>
      </c>
      <c r="B27" s="4">
        <v>470</v>
      </c>
      <c r="C27" t="s">
        <v>56</v>
      </c>
      <c r="D27" s="4" t="s">
        <v>14</v>
      </c>
      <c r="E27" s="78">
        <v>447054.89885470527</v>
      </c>
      <c r="F27" s="78">
        <v>20580.57203049388</v>
      </c>
      <c r="G27">
        <v>7896</v>
      </c>
      <c r="H27">
        <v>1804.6890000000003</v>
      </c>
      <c r="I27" s="5">
        <f t="shared" si="0"/>
        <v>426474.3268242114</v>
      </c>
      <c r="J27" s="5">
        <f t="shared" si="1"/>
        <v>54.011439567402661</v>
      </c>
      <c r="K27" s="76">
        <f t="shared" si="2"/>
        <v>4.6035894211692005E-2</v>
      </c>
      <c r="L27" s="77">
        <f t="shared" si="3"/>
        <v>4.3752690906854301</v>
      </c>
    </row>
    <row r="28" spans="1:12" x14ac:dyDescent="0.25">
      <c r="A28" t="s">
        <v>16</v>
      </c>
      <c r="B28" s="4">
        <v>472</v>
      </c>
      <c r="C28" t="s">
        <v>56</v>
      </c>
      <c r="D28" s="4" t="s">
        <v>14</v>
      </c>
      <c r="E28" s="78">
        <v>163340.39452893048</v>
      </c>
      <c r="F28" s="78">
        <v>8310.77242133236</v>
      </c>
      <c r="G28">
        <v>2715</v>
      </c>
      <c r="H28">
        <v>602.46600000000012</v>
      </c>
      <c r="I28" s="5">
        <f t="shared" si="0"/>
        <v>155029.62210759812</v>
      </c>
      <c r="J28" s="5">
        <f t="shared" si="1"/>
        <v>57.101149947549949</v>
      </c>
      <c r="K28" s="76">
        <f t="shared" si="2"/>
        <v>5.0880080492644912E-2</v>
      </c>
      <c r="L28" s="77">
        <f t="shared" si="3"/>
        <v>4.5064783738833389</v>
      </c>
    </row>
    <row r="29" spans="1:12" x14ac:dyDescent="0.25">
      <c r="A29" t="s">
        <v>16</v>
      </c>
      <c r="B29" s="4">
        <v>475</v>
      </c>
      <c r="C29" t="s">
        <v>56</v>
      </c>
      <c r="D29" s="4" t="s">
        <v>14</v>
      </c>
      <c r="E29" s="78">
        <v>781966.80129379337</v>
      </c>
      <c r="F29" s="78">
        <v>52648.343193993482</v>
      </c>
      <c r="G29">
        <v>20902</v>
      </c>
      <c r="H29">
        <v>3492.2180000000008</v>
      </c>
      <c r="I29" s="5">
        <f t="shared" si="0"/>
        <v>729318.45809979993</v>
      </c>
      <c r="J29" s="5">
        <f t="shared" si="1"/>
        <v>34.892281030513821</v>
      </c>
      <c r="K29" s="76">
        <f t="shared" si="2"/>
        <v>6.7328105370822428E-2</v>
      </c>
      <c r="L29" s="77">
        <f t="shared" si="3"/>
        <v>5.9853079046038919</v>
      </c>
    </row>
    <row r="30" spans="1:12" x14ac:dyDescent="0.25">
      <c r="A30" t="s">
        <v>16</v>
      </c>
      <c r="B30" s="4">
        <v>476</v>
      </c>
      <c r="C30" t="s">
        <v>56</v>
      </c>
      <c r="D30" s="4" t="s">
        <v>14</v>
      </c>
      <c r="E30" s="78">
        <v>210553.47082774024</v>
      </c>
      <c r="F30" s="78">
        <v>5812.9062840476599</v>
      </c>
      <c r="G30">
        <v>1906</v>
      </c>
      <c r="H30">
        <v>842.00699999999995</v>
      </c>
      <c r="I30" s="5">
        <f t="shared" si="0"/>
        <v>204740.56454369257</v>
      </c>
      <c r="J30" s="5">
        <f t="shared" si="1"/>
        <v>107.41897405230461</v>
      </c>
      <c r="K30" s="76">
        <f t="shared" si="2"/>
        <v>2.7607743824861301E-2</v>
      </c>
      <c r="L30" s="77">
        <f t="shared" si="3"/>
        <v>2.2636391383919614</v>
      </c>
    </row>
    <row r="31" spans="1:12" x14ac:dyDescent="0.25">
      <c r="A31" t="s">
        <v>16</v>
      </c>
      <c r="B31" s="4">
        <v>477</v>
      </c>
      <c r="C31" t="s">
        <v>56</v>
      </c>
      <c r="D31" s="4" t="s">
        <v>14</v>
      </c>
      <c r="E31" s="78">
        <v>1112087.6978755447</v>
      </c>
      <c r="F31" s="78">
        <v>87383.159281312634</v>
      </c>
      <c r="G31">
        <v>34722</v>
      </c>
      <c r="H31">
        <v>4492.0609999999997</v>
      </c>
      <c r="I31" s="5">
        <f t="shared" si="0"/>
        <v>1024704.5385942321</v>
      </c>
      <c r="J31" s="5">
        <f t="shared" si="1"/>
        <v>29.511679586263234</v>
      </c>
      <c r="K31" s="76">
        <f t="shared" si="2"/>
        <v>7.8575780892319341E-2</v>
      </c>
      <c r="L31" s="77">
        <f t="shared" si="3"/>
        <v>7.7296367970069868</v>
      </c>
    </row>
    <row r="32" spans="1:12" x14ac:dyDescent="0.25">
      <c r="A32" t="s">
        <v>16</v>
      </c>
      <c r="B32" s="4">
        <v>478</v>
      </c>
      <c r="C32" t="s">
        <v>56</v>
      </c>
      <c r="D32" s="4" t="s">
        <v>14</v>
      </c>
      <c r="E32" s="78">
        <v>67845.112689163056</v>
      </c>
      <c r="F32" s="78">
        <v>1923.6698173167395</v>
      </c>
      <c r="G32">
        <v>597</v>
      </c>
      <c r="H32">
        <v>303.90800000000002</v>
      </c>
      <c r="I32" s="5">
        <f t="shared" si="0"/>
        <v>65921.442871846317</v>
      </c>
      <c r="J32" s="5">
        <f t="shared" si="1"/>
        <v>110.42117733977608</v>
      </c>
      <c r="K32" s="76">
        <f t="shared" si="2"/>
        <v>2.8353845119694354E-2</v>
      </c>
      <c r="L32" s="77">
        <f t="shared" si="3"/>
        <v>1.9644102820590441</v>
      </c>
    </row>
    <row r="33" spans="1:12" x14ac:dyDescent="0.25">
      <c r="A33" t="s">
        <v>16</v>
      </c>
      <c r="B33" s="4">
        <v>480</v>
      </c>
      <c r="C33" t="s">
        <v>56</v>
      </c>
      <c r="D33" s="4" t="s">
        <v>14</v>
      </c>
      <c r="E33" s="78">
        <v>421491.12789314566</v>
      </c>
      <c r="F33" s="78">
        <v>24030.413645158442</v>
      </c>
      <c r="G33">
        <v>9015</v>
      </c>
      <c r="H33">
        <v>1762.9939999999999</v>
      </c>
      <c r="I33" s="5">
        <f t="shared" si="0"/>
        <v>397460.7142479872</v>
      </c>
      <c r="J33" s="5">
        <f t="shared" si="1"/>
        <v>44.088820216082887</v>
      </c>
      <c r="K33" s="76">
        <f t="shared" si="2"/>
        <v>5.7012857578464887E-2</v>
      </c>
      <c r="L33" s="77">
        <f t="shared" si="3"/>
        <v>5.1134603974829185</v>
      </c>
    </row>
    <row r="34" spans="1:12" x14ac:dyDescent="0.25">
      <c r="A34" t="s">
        <v>16</v>
      </c>
      <c r="B34" s="4">
        <v>484</v>
      </c>
      <c r="C34" t="s">
        <v>56</v>
      </c>
      <c r="D34" s="4" t="s">
        <v>14</v>
      </c>
      <c r="E34" s="78">
        <v>190920.04072390965</v>
      </c>
      <c r="F34" s="78">
        <v>3070.877373234453</v>
      </c>
      <c r="G34">
        <v>1287</v>
      </c>
      <c r="H34">
        <v>643.12800000000004</v>
      </c>
      <c r="I34" s="5">
        <f t="shared" si="0"/>
        <v>187849.1633506752</v>
      </c>
      <c r="J34" s="5">
        <f t="shared" si="1"/>
        <v>145.95894588242052</v>
      </c>
      <c r="K34" s="76">
        <f t="shared" si="2"/>
        <v>1.6084625592947901E-2</v>
      </c>
      <c r="L34" s="77">
        <f t="shared" si="3"/>
        <v>2.0011568459155873</v>
      </c>
    </row>
    <row r="35" spans="1:12" x14ac:dyDescent="0.25">
      <c r="A35" t="s">
        <v>16</v>
      </c>
      <c r="B35" s="4">
        <v>490</v>
      </c>
      <c r="C35" t="s">
        <v>56</v>
      </c>
      <c r="D35" s="4" t="s">
        <v>14</v>
      </c>
      <c r="E35" s="78">
        <v>431953.25252976618</v>
      </c>
      <c r="F35" s="78">
        <v>17173.300329093414</v>
      </c>
      <c r="G35">
        <v>6823</v>
      </c>
      <c r="H35">
        <v>1830.3250000000003</v>
      </c>
      <c r="I35" s="5">
        <f t="shared" si="0"/>
        <v>414779.95220067276</v>
      </c>
      <c r="J35" s="5">
        <f t="shared" si="1"/>
        <v>60.791433709610544</v>
      </c>
      <c r="K35" s="76">
        <f t="shared" si="2"/>
        <v>3.9757312228850483E-2</v>
      </c>
      <c r="L35" s="77">
        <f t="shared" si="3"/>
        <v>3.7277532678622642</v>
      </c>
    </row>
    <row r="36" spans="1:12" x14ac:dyDescent="0.25">
      <c r="A36" t="s">
        <v>16</v>
      </c>
      <c r="B36" s="4">
        <v>493</v>
      </c>
      <c r="C36" t="s">
        <v>56</v>
      </c>
      <c r="D36" s="4" t="s">
        <v>14</v>
      </c>
      <c r="E36" s="78">
        <v>320926.93157392315</v>
      </c>
      <c r="F36" s="78">
        <v>11680.914527994653</v>
      </c>
      <c r="G36">
        <v>4573</v>
      </c>
      <c r="H36">
        <v>1184.7809999999999</v>
      </c>
      <c r="I36" s="5">
        <f t="shared" si="0"/>
        <v>309246.01704592851</v>
      </c>
      <c r="J36" s="5">
        <f t="shared" si="1"/>
        <v>67.624320368670126</v>
      </c>
      <c r="K36" s="76">
        <f t="shared" si="2"/>
        <v>3.6397426886886373E-2</v>
      </c>
      <c r="L36" s="77">
        <f t="shared" si="3"/>
        <v>3.8597850573228305</v>
      </c>
    </row>
    <row r="37" spans="1:12" x14ac:dyDescent="0.25">
      <c r="A37" t="s">
        <v>16</v>
      </c>
      <c r="B37" s="4">
        <v>495</v>
      </c>
      <c r="C37" t="s">
        <v>56</v>
      </c>
      <c r="D37" s="4" t="s">
        <v>14</v>
      </c>
      <c r="E37" s="78">
        <v>1253768.7172591386</v>
      </c>
      <c r="F37" s="78">
        <v>80565.475235671634</v>
      </c>
      <c r="G37">
        <v>54795</v>
      </c>
      <c r="H37">
        <v>7305.2940000000017</v>
      </c>
      <c r="I37" s="5">
        <f t="shared" si="0"/>
        <v>1173203.2420234669</v>
      </c>
      <c r="J37" s="5">
        <f t="shared" si="1"/>
        <v>21.410771822674821</v>
      </c>
      <c r="K37" s="76">
        <f t="shared" si="2"/>
        <v>6.4258642065815511E-2</v>
      </c>
      <c r="L37" s="77">
        <f t="shared" si="3"/>
        <v>7.5007248168246186</v>
      </c>
    </row>
    <row r="38" spans="1:12" x14ac:dyDescent="0.25">
      <c r="A38" t="s">
        <v>16</v>
      </c>
      <c r="B38" s="4">
        <v>498</v>
      </c>
      <c r="C38" t="s">
        <v>56</v>
      </c>
      <c r="D38" s="4" t="s">
        <v>14</v>
      </c>
      <c r="E38" s="78">
        <v>218923.32187297498</v>
      </c>
      <c r="F38" s="78">
        <v>243.05455032867675</v>
      </c>
      <c r="G38">
        <v>67</v>
      </c>
      <c r="H38">
        <v>908.76999999999987</v>
      </c>
      <c r="I38" s="5">
        <f t="shared" si="0"/>
        <v>218680.26732264631</v>
      </c>
      <c r="J38" s="5">
        <f t="shared" si="1"/>
        <v>3263.8845869051688</v>
      </c>
      <c r="K38" s="76">
        <f t="shared" si="2"/>
        <v>1.1102268513434276E-3</v>
      </c>
      <c r="L38" s="77">
        <f t="shared" si="3"/>
        <v>7.3726025286926289E-2</v>
      </c>
    </row>
    <row r="39" spans="1:12" x14ac:dyDescent="0.25">
      <c r="A39" t="s">
        <v>16</v>
      </c>
      <c r="B39" s="4">
        <v>495</v>
      </c>
      <c r="C39" t="s">
        <v>56</v>
      </c>
      <c r="D39" s="4" t="s">
        <v>17</v>
      </c>
      <c r="E39" s="78">
        <v>277853.14507306245</v>
      </c>
      <c r="F39" s="78">
        <v>13941.371102855808</v>
      </c>
      <c r="G39">
        <v>10486</v>
      </c>
      <c r="H39">
        <v>1515.5350000000003</v>
      </c>
      <c r="I39" s="5">
        <f t="shared" si="0"/>
        <v>263911.77397020662</v>
      </c>
      <c r="J39" s="5">
        <f t="shared" si="1"/>
        <v>25.168012013180107</v>
      </c>
      <c r="K39" s="76">
        <f t="shared" si="2"/>
        <v>5.017532228828965E-2</v>
      </c>
      <c r="L39" s="77">
        <f t="shared" si="3"/>
        <v>6.919008798873004</v>
      </c>
    </row>
    <row r="40" spans="1:12" x14ac:dyDescent="0.25">
      <c r="A40" t="s">
        <v>16</v>
      </c>
      <c r="B40" s="4">
        <v>495</v>
      </c>
      <c r="C40" t="s">
        <v>56</v>
      </c>
      <c r="D40" s="4" t="s">
        <v>18</v>
      </c>
      <c r="E40" s="78">
        <v>303977.26685576979</v>
      </c>
      <c r="F40" s="78">
        <v>12924.441426274687</v>
      </c>
      <c r="G40">
        <v>11492</v>
      </c>
      <c r="H40">
        <v>1658.5100000000004</v>
      </c>
      <c r="I40" s="5">
        <f t="shared" si="0"/>
        <v>291052.82542949507</v>
      </c>
      <c r="J40" s="5">
        <f t="shared" si="1"/>
        <v>25.326559818090416</v>
      </c>
      <c r="K40" s="76">
        <f t="shared" si="2"/>
        <v>4.2517789438534022E-2</v>
      </c>
      <c r="L40" s="77">
        <f t="shared" si="3"/>
        <v>6.9291110695744953</v>
      </c>
    </row>
    <row r="41" spans="1:12" x14ac:dyDescent="0.25">
      <c r="A41" t="s">
        <v>79</v>
      </c>
      <c r="B41" s="4">
        <v>94</v>
      </c>
      <c r="C41" t="str">
        <f>VLOOKUP(B41,'[1]Route types'!A:B,2,FALSE)</f>
        <v>Commuter &amp; Express Bus</v>
      </c>
      <c r="D41" s="4" t="s">
        <v>14</v>
      </c>
      <c r="E41" s="5">
        <v>2730500.3970560953</v>
      </c>
      <c r="F41" s="75">
        <v>224370.81678633014</v>
      </c>
      <c r="G41" s="6">
        <v>138245.24869043336</v>
      </c>
      <c r="H41" s="7">
        <v>10905.080000000042</v>
      </c>
      <c r="I41" s="5">
        <f t="shared" si="0"/>
        <v>2506129.5802697651</v>
      </c>
      <c r="J41" s="5">
        <f t="shared" si="1"/>
        <v>18.128142587248213</v>
      </c>
      <c r="K41" s="76">
        <f t="shared" si="2"/>
        <v>8.2172050598577767E-2</v>
      </c>
      <c r="L41" s="77">
        <f t="shared" si="3"/>
        <v>12.677142092532364</v>
      </c>
    </row>
    <row r="42" spans="1:12" x14ac:dyDescent="0.25">
      <c r="A42" t="s">
        <v>79</v>
      </c>
      <c r="B42" s="4">
        <v>113</v>
      </c>
      <c r="C42" t="str">
        <f>VLOOKUP(B42,'[1]Route types'!A:B,2,FALSE)</f>
        <v>Commuter &amp; Express Bus</v>
      </c>
      <c r="D42" s="4" t="s">
        <v>14</v>
      </c>
      <c r="E42" s="5">
        <v>239506.72633074419</v>
      </c>
      <c r="F42" s="75">
        <v>18351.881649884101</v>
      </c>
      <c r="G42" s="6">
        <v>12097.574586896038</v>
      </c>
      <c r="H42" s="7">
        <v>796.54999999999961</v>
      </c>
      <c r="I42" s="5">
        <f t="shared" si="0"/>
        <v>221154.84468086009</v>
      </c>
      <c r="J42" s="5">
        <f t="shared" si="1"/>
        <v>18.280924254057719</v>
      </c>
      <c r="K42" s="76">
        <f t="shared" si="2"/>
        <v>7.6623658679803711E-2</v>
      </c>
      <c r="L42" s="77">
        <f t="shared" si="3"/>
        <v>15.187464172865537</v>
      </c>
    </row>
    <row r="43" spans="1:12" x14ac:dyDescent="0.25">
      <c r="A43" t="s">
        <v>79</v>
      </c>
      <c r="B43" s="4">
        <v>114</v>
      </c>
      <c r="C43" t="str">
        <f>VLOOKUP(B43,'[1]Route types'!A:B,2,FALSE)</f>
        <v>Commuter &amp; Express Bus</v>
      </c>
      <c r="D43" s="4" t="s">
        <v>14</v>
      </c>
      <c r="E43" s="5">
        <v>279218.86473209638</v>
      </c>
      <c r="F43" s="75">
        <v>23124.758046361389</v>
      </c>
      <c r="G43" s="6">
        <v>16015.026081888802</v>
      </c>
      <c r="H43" s="7">
        <v>783.68000000000075</v>
      </c>
      <c r="I43" s="5">
        <f t="shared" si="0"/>
        <v>256094.10668573499</v>
      </c>
      <c r="J43" s="5">
        <f t="shared" si="1"/>
        <v>15.990864165706773</v>
      </c>
      <c r="K43" s="76">
        <f t="shared" si="2"/>
        <v>8.2819468765296445E-2</v>
      </c>
      <c r="L43" s="77">
        <f t="shared" si="3"/>
        <v>20.435670275991203</v>
      </c>
    </row>
    <row r="44" spans="1:12" x14ac:dyDescent="0.25">
      <c r="A44" t="s">
        <v>79</v>
      </c>
      <c r="B44" s="4">
        <v>134</v>
      </c>
      <c r="C44" t="str">
        <f>VLOOKUP(B44,'[1]Route types'!A:B,2,FALSE)</f>
        <v>Commuter &amp; Express Bus</v>
      </c>
      <c r="D44" s="4" t="s">
        <v>14</v>
      </c>
      <c r="E44" s="5">
        <v>199149.82003347919</v>
      </c>
      <c r="F44" s="75">
        <v>40589.223462748712</v>
      </c>
      <c r="G44" s="6">
        <v>10012.445171312851</v>
      </c>
      <c r="H44" s="7">
        <v>604.34999999999991</v>
      </c>
      <c r="I44" s="5">
        <f t="shared" si="0"/>
        <v>158560.59657073047</v>
      </c>
      <c r="J44" s="5">
        <f t="shared" si="1"/>
        <v>15.836351046898137</v>
      </c>
      <c r="K44" s="76">
        <f t="shared" si="2"/>
        <v>0.20381250385225172</v>
      </c>
      <c r="L44" s="77">
        <f t="shared" si="3"/>
        <v>16.567295724849593</v>
      </c>
    </row>
    <row r="45" spans="1:12" x14ac:dyDescent="0.25">
      <c r="A45" t="s">
        <v>79</v>
      </c>
      <c r="B45" s="4">
        <v>250</v>
      </c>
      <c r="C45" t="str">
        <f>VLOOKUP(B45,'[1]Route types'!A:B,2,FALSE)</f>
        <v>Commuter &amp; Express Bus</v>
      </c>
      <c r="D45" s="4" t="s">
        <v>14</v>
      </c>
      <c r="E45" s="5">
        <v>989718.72022719646</v>
      </c>
      <c r="F45" s="75">
        <v>253400.32758178041</v>
      </c>
      <c r="G45" s="6">
        <v>42654.333577258527</v>
      </c>
      <c r="H45" s="7">
        <v>3206.1399999999912</v>
      </c>
      <c r="I45" s="5">
        <f t="shared" si="0"/>
        <v>736318.39264541608</v>
      </c>
      <c r="J45" s="5">
        <f t="shared" si="1"/>
        <v>17.262452156514048</v>
      </c>
      <c r="K45" s="76">
        <f t="shared" si="2"/>
        <v>0.25603267110438277</v>
      </c>
      <c r="L45" s="77">
        <f t="shared" si="3"/>
        <v>13.303952284447542</v>
      </c>
    </row>
    <row r="46" spans="1:12" x14ac:dyDescent="0.25">
      <c r="A46" t="s">
        <v>79</v>
      </c>
      <c r="B46" s="4">
        <v>252</v>
      </c>
      <c r="C46" t="str">
        <f>VLOOKUP(B46,'[1]Route types'!A:B,2,FALSE)</f>
        <v>Commuter &amp; Express Bus</v>
      </c>
      <c r="D46" s="4" t="s">
        <v>14</v>
      </c>
      <c r="E46" s="5">
        <v>79054.435319259894</v>
      </c>
      <c r="F46" s="75">
        <v>11586.028440570837</v>
      </c>
      <c r="G46" s="6">
        <v>7004.2503139865194</v>
      </c>
      <c r="H46" s="7">
        <v>205.94999999999962</v>
      </c>
      <c r="I46" s="5">
        <f t="shared" si="0"/>
        <v>67468.406878689057</v>
      </c>
      <c r="J46" s="5">
        <f t="shared" si="1"/>
        <v>9.6324951071442975</v>
      </c>
      <c r="K46" s="76">
        <f t="shared" si="2"/>
        <v>0.14655760165487075</v>
      </c>
      <c r="L46" s="77">
        <f t="shared" si="3"/>
        <v>34.009469842129313</v>
      </c>
    </row>
    <row r="47" spans="1:12" x14ac:dyDescent="0.25">
      <c r="A47" t="s">
        <v>79</v>
      </c>
      <c r="B47" s="4">
        <v>264</v>
      </c>
      <c r="C47" t="str">
        <f>VLOOKUP(B47,'[1]Route types'!A:B,2,FALSE)</f>
        <v>Commuter &amp; Express Bus</v>
      </c>
      <c r="D47" s="4" t="s">
        <v>14</v>
      </c>
      <c r="E47" s="5">
        <v>354748.35069146287</v>
      </c>
      <c r="F47" s="75">
        <v>55118.163542542912</v>
      </c>
      <c r="G47" s="6">
        <v>9949.7744451185517</v>
      </c>
      <c r="H47" s="7">
        <v>1233.9200000000019</v>
      </c>
      <c r="I47" s="5">
        <f t="shared" si="0"/>
        <v>299630.18714891997</v>
      </c>
      <c r="J47" s="5">
        <f t="shared" si="1"/>
        <v>30.114269303453529</v>
      </c>
      <c r="K47" s="76">
        <f t="shared" si="2"/>
        <v>0.15537257166977253</v>
      </c>
      <c r="L47" s="77">
        <f t="shared" si="3"/>
        <v>8.0635490510880263</v>
      </c>
    </row>
    <row r="48" spans="1:12" x14ac:dyDescent="0.25">
      <c r="A48" t="s">
        <v>79</v>
      </c>
      <c r="B48" s="4">
        <v>270</v>
      </c>
      <c r="C48" t="str">
        <f>VLOOKUP(B48,'[1]Route types'!A:B,2,FALSE)</f>
        <v>Commuter &amp; Express Bus</v>
      </c>
      <c r="D48" s="4" t="s">
        <v>14</v>
      </c>
      <c r="E48" s="5">
        <v>834306.74677767162</v>
      </c>
      <c r="F48" s="75">
        <v>148096.79200123856</v>
      </c>
      <c r="G48" s="6">
        <v>24200.460252283116</v>
      </c>
      <c r="H48" s="7">
        <v>2604.6400000000099</v>
      </c>
      <c r="I48" s="5">
        <f t="shared" si="0"/>
        <v>686209.95477643306</v>
      </c>
      <c r="J48" s="5">
        <f t="shared" si="1"/>
        <v>28.3552439756469</v>
      </c>
      <c r="K48" s="76">
        <f t="shared" si="2"/>
        <v>0.17750880305502767</v>
      </c>
      <c r="L48" s="77">
        <f t="shared" si="3"/>
        <v>9.2912879523784575</v>
      </c>
    </row>
    <row r="49" spans="1:12" x14ac:dyDescent="0.25">
      <c r="A49" t="s">
        <v>79</v>
      </c>
      <c r="B49" s="4">
        <v>275</v>
      </c>
      <c r="C49" t="str">
        <f>VLOOKUP(B49,'[1]Route types'!A:B,2,FALSE)</f>
        <v>Commuter &amp; Express Bus</v>
      </c>
      <c r="D49" s="4" t="s">
        <v>14</v>
      </c>
      <c r="E49" s="5">
        <v>121507.65551161423</v>
      </c>
      <c r="F49" s="75">
        <v>26710.095841033653</v>
      </c>
      <c r="G49" s="6">
        <v>4599.3939732425888</v>
      </c>
      <c r="H49" s="7">
        <v>362.69999999999931</v>
      </c>
      <c r="I49" s="5">
        <f t="shared" si="0"/>
        <v>94797.55967058058</v>
      </c>
      <c r="J49" s="5">
        <f t="shared" si="1"/>
        <v>20.610880525146221</v>
      </c>
      <c r="K49" s="76">
        <f t="shared" si="2"/>
        <v>0.21982232912460883</v>
      </c>
      <c r="L49" s="77">
        <f t="shared" si="3"/>
        <v>12.680986967859381</v>
      </c>
    </row>
    <row r="50" spans="1:12" x14ac:dyDescent="0.25">
      <c r="A50" t="s">
        <v>79</v>
      </c>
      <c r="B50" s="4">
        <v>294</v>
      </c>
      <c r="C50" t="str">
        <f>VLOOKUP(B50,'[1]Route types'!A:B,2,FALSE)</f>
        <v>Commuter &amp; Express Bus</v>
      </c>
      <c r="D50" s="4" t="s">
        <v>14</v>
      </c>
      <c r="E50" s="5">
        <v>168593.71304744709</v>
      </c>
      <c r="F50" s="75">
        <v>24926.254072177177</v>
      </c>
      <c r="G50" s="6">
        <v>4704.5533273652254</v>
      </c>
      <c r="H50" s="7">
        <v>619.5199999999993</v>
      </c>
      <c r="I50" s="5">
        <f t="shared" si="0"/>
        <v>143667.45897526992</v>
      </c>
      <c r="J50" s="5">
        <f t="shared" si="1"/>
        <v>30.537959499702506</v>
      </c>
      <c r="K50" s="76">
        <f t="shared" si="2"/>
        <v>0.14784806397354933</v>
      </c>
      <c r="L50" s="77">
        <f t="shared" si="3"/>
        <v>7.5938683615786911</v>
      </c>
    </row>
    <row r="51" spans="1:12" x14ac:dyDescent="0.25">
      <c r="A51" t="s">
        <v>79</v>
      </c>
      <c r="B51" s="4">
        <v>351</v>
      </c>
      <c r="C51" t="str">
        <f>VLOOKUP(B51,'[1]Route types'!A:B,2,FALSE)</f>
        <v>Commuter &amp; Express Bus</v>
      </c>
      <c r="D51" s="4" t="s">
        <v>14</v>
      </c>
      <c r="E51" s="5">
        <v>75761.864236574911</v>
      </c>
      <c r="F51" s="75">
        <v>10862.452323489097</v>
      </c>
      <c r="G51" s="6">
        <v>2724.5832659046746</v>
      </c>
      <c r="H51" s="7">
        <v>253.44000000000031</v>
      </c>
      <c r="I51" s="5">
        <f t="shared" si="0"/>
        <v>64899.411913085816</v>
      </c>
      <c r="J51" s="5">
        <f t="shared" si="1"/>
        <v>23.819940731940346</v>
      </c>
      <c r="K51" s="76">
        <f t="shared" si="2"/>
        <v>0.14337625443811508</v>
      </c>
      <c r="L51" s="77">
        <f t="shared" si="3"/>
        <v>10.750407457010224</v>
      </c>
    </row>
    <row r="52" spans="1:12" x14ac:dyDescent="0.25">
      <c r="A52" t="s">
        <v>79</v>
      </c>
      <c r="B52" s="4">
        <v>353</v>
      </c>
      <c r="C52" t="str">
        <f>VLOOKUP(B52,'[1]Route types'!A:B,2,FALSE)</f>
        <v>Commuter &amp; Express Bus</v>
      </c>
      <c r="D52" s="4" t="s">
        <v>14</v>
      </c>
      <c r="E52" s="5">
        <v>442132.40172188886</v>
      </c>
      <c r="F52" s="75">
        <v>106550.82705205535</v>
      </c>
      <c r="G52" s="6">
        <v>17053.873034736665</v>
      </c>
      <c r="H52" s="7">
        <v>1371.3300000000077</v>
      </c>
      <c r="I52" s="5">
        <f t="shared" si="0"/>
        <v>335581.57466983353</v>
      </c>
      <c r="J52" s="5">
        <f t="shared" si="1"/>
        <v>19.677733848862054</v>
      </c>
      <c r="K52" s="76">
        <f t="shared" si="2"/>
        <v>0.24099302977364276</v>
      </c>
      <c r="L52" s="77">
        <f t="shared" si="3"/>
        <v>12.43600959268489</v>
      </c>
    </row>
    <row r="53" spans="1:12" x14ac:dyDescent="0.25">
      <c r="A53" t="s">
        <v>79</v>
      </c>
      <c r="B53" s="4">
        <v>355</v>
      </c>
      <c r="C53" t="str">
        <f>VLOOKUP(B53,'[1]Route types'!A:B,2,FALSE)</f>
        <v>Commuter &amp; Express Bus</v>
      </c>
      <c r="D53" s="4" t="s">
        <v>14</v>
      </c>
      <c r="E53" s="5">
        <v>160660.1222875785</v>
      </c>
      <c r="F53" s="75">
        <v>33401.970095527751</v>
      </c>
      <c r="G53" s="6">
        <v>9389.9867721626997</v>
      </c>
      <c r="H53" s="7">
        <v>552.96000000000015</v>
      </c>
      <c r="I53" s="5">
        <f t="shared" si="0"/>
        <v>127258.15219205075</v>
      </c>
      <c r="J53" s="5">
        <f t="shared" si="1"/>
        <v>13.552537961961439</v>
      </c>
      <c r="K53" s="76">
        <f t="shared" si="2"/>
        <v>0.20790454793591451</v>
      </c>
      <c r="L53" s="77">
        <f t="shared" si="3"/>
        <v>16.981312883685433</v>
      </c>
    </row>
    <row r="54" spans="1:12" x14ac:dyDescent="0.25">
      <c r="A54" t="s">
        <v>79</v>
      </c>
      <c r="B54" s="4">
        <v>363</v>
      </c>
      <c r="C54" t="str">
        <f>VLOOKUP(B54,'[1]Route types'!A:B,2,FALSE)</f>
        <v>Commuter &amp; Express Bus</v>
      </c>
      <c r="D54" s="4" t="s">
        <v>14</v>
      </c>
      <c r="E54" s="5">
        <v>559954.73413300421</v>
      </c>
      <c r="F54" s="75">
        <v>10492.971579809766</v>
      </c>
      <c r="G54" s="6">
        <v>9930.6545625508006</v>
      </c>
      <c r="H54" s="7">
        <v>1732.299999999994</v>
      </c>
      <c r="I54" s="5">
        <f t="shared" si="0"/>
        <v>549461.76255319442</v>
      </c>
      <c r="J54" s="5">
        <f t="shared" si="1"/>
        <v>55.329863614957823</v>
      </c>
      <c r="K54" s="76">
        <f t="shared" si="2"/>
        <v>1.8738963955821124E-2</v>
      </c>
      <c r="L54" s="77">
        <f t="shared" si="3"/>
        <v>5.732641322259906</v>
      </c>
    </row>
    <row r="55" spans="1:12" x14ac:dyDescent="0.25">
      <c r="A55" t="s">
        <v>79</v>
      </c>
      <c r="B55" s="4">
        <v>535</v>
      </c>
      <c r="C55" t="str">
        <f>VLOOKUP(B55,'[1]Route types'!A:B,2,FALSE)</f>
        <v>Commuter &amp; Express Bus</v>
      </c>
      <c r="D55" s="4" t="s">
        <v>14</v>
      </c>
      <c r="E55" s="5">
        <v>3644403.2496442581</v>
      </c>
      <c r="F55" s="75">
        <v>155730.99948367322</v>
      </c>
      <c r="G55" s="6">
        <v>86022.47610371311</v>
      </c>
      <c r="H55" s="7">
        <v>14935.419999999993</v>
      </c>
      <c r="I55" s="5">
        <f t="shared" si="0"/>
        <v>3488672.2501605847</v>
      </c>
      <c r="J55" s="5">
        <f t="shared" si="1"/>
        <v>40.555357252847067</v>
      </c>
      <c r="K55" s="76">
        <f t="shared" si="2"/>
        <v>4.273154994548823E-2</v>
      </c>
      <c r="L55" s="77">
        <f t="shared" si="3"/>
        <v>5.7596288623763607</v>
      </c>
    </row>
    <row r="56" spans="1:12" x14ac:dyDescent="0.25">
      <c r="A56" t="s">
        <v>79</v>
      </c>
      <c r="B56" s="4">
        <v>553</v>
      </c>
      <c r="C56" t="str">
        <f>VLOOKUP(B56,'[1]Route types'!A:B,2,FALSE)</f>
        <v>Commuter &amp; Express Bus</v>
      </c>
      <c r="D56" s="4" t="s">
        <v>14</v>
      </c>
      <c r="E56" s="5">
        <v>104324.75473219439</v>
      </c>
      <c r="F56" s="75">
        <v>18384.4410018372</v>
      </c>
      <c r="G56" s="6">
        <v>3133.5363097149279</v>
      </c>
      <c r="H56" s="7">
        <v>374.4599999999997</v>
      </c>
      <c r="I56" s="5">
        <f t="shared" si="0"/>
        <v>85940.313730357186</v>
      </c>
      <c r="J56" s="5">
        <f t="shared" si="1"/>
        <v>27.42598305432611</v>
      </c>
      <c r="K56" s="76">
        <f t="shared" si="2"/>
        <v>0.17622318929990066</v>
      </c>
      <c r="L56" s="77">
        <f t="shared" si="3"/>
        <v>8.3681469575253171</v>
      </c>
    </row>
    <row r="57" spans="1:12" x14ac:dyDescent="0.25">
      <c r="A57" t="s">
        <v>79</v>
      </c>
      <c r="B57" s="4">
        <v>578</v>
      </c>
      <c r="C57" t="str">
        <f>VLOOKUP(B57,'[1]Route types'!A:B,2,FALSE)</f>
        <v>Commuter &amp; Express Bus</v>
      </c>
      <c r="D57" s="4" t="s">
        <v>14</v>
      </c>
      <c r="E57" s="5">
        <v>175191.94694674574</v>
      </c>
      <c r="F57" s="75">
        <v>38184.567926184318</v>
      </c>
      <c r="G57" s="6">
        <v>5899.5459878497313</v>
      </c>
      <c r="H57" s="7">
        <v>543.29000000000099</v>
      </c>
      <c r="I57" s="5">
        <f t="shared" si="0"/>
        <v>137007.37902056141</v>
      </c>
      <c r="J57" s="5">
        <f t="shared" si="1"/>
        <v>23.223376731486063</v>
      </c>
      <c r="K57" s="76">
        <f t="shared" si="2"/>
        <v>0.21795846550978473</v>
      </c>
      <c r="L57" s="77">
        <f t="shared" si="3"/>
        <v>10.858926149661729</v>
      </c>
    </row>
    <row r="58" spans="1:12" x14ac:dyDescent="0.25">
      <c r="A58" t="s">
        <v>79</v>
      </c>
      <c r="B58" s="4">
        <v>579</v>
      </c>
      <c r="C58" t="str">
        <f>VLOOKUP(B58,'[1]Route types'!A:B,2,FALSE)</f>
        <v>Commuter &amp; Express Bus</v>
      </c>
      <c r="D58" s="4" t="s">
        <v>14</v>
      </c>
      <c r="E58" s="5">
        <v>67471.523727189939</v>
      </c>
      <c r="F58" s="75">
        <v>3847.5515380463053</v>
      </c>
      <c r="G58" s="6">
        <v>2659.7881083139591</v>
      </c>
      <c r="H58" s="7">
        <v>173.14000000000007</v>
      </c>
      <c r="I58" s="5">
        <f t="shared" si="0"/>
        <v>63623.972189143635</v>
      </c>
      <c r="J58" s="5">
        <f t="shared" si="1"/>
        <v>23.920692024401486</v>
      </c>
      <c r="K58" s="76">
        <f t="shared" si="2"/>
        <v>5.702482062808082E-2</v>
      </c>
      <c r="L58" s="77">
        <f t="shared" si="3"/>
        <v>15.362066006202831</v>
      </c>
    </row>
    <row r="59" spans="1:12" x14ac:dyDescent="0.25">
      <c r="A59" t="s">
        <v>79</v>
      </c>
      <c r="B59" s="4">
        <v>597</v>
      </c>
      <c r="C59" t="str">
        <f>VLOOKUP(B59,'[1]Route types'!A:B,2,FALSE)</f>
        <v>Commuter &amp; Express Bus</v>
      </c>
      <c r="D59" s="4" t="s">
        <v>14</v>
      </c>
      <c r="E59" s="5">
        <v>169565.77429154181</v>
      </c>
      <c r="F59" s="75">
        <v>32470.782566399204</v>
      </c>
      <c r="G59" s="6">
        <v>5511.8372580036475</v>
      </c>
      <c r="H59" s="7">
        <v>522.21000000000038</v>
      </c>
      <c r="I59" s="5">
        <f t="shared" si="0"/>
        <v>137094.99172514261</v>
      </c>
      <c r="J59" s="5">
        <f t="shared" si="1"/>
        <v>24.872830112331282</v>
      </c>
      <c r="K59" s="76">
        <f t="shared" si="2"/>
        <v>0.19149372980523049</v>
      </c>
      <c r="L59" s="77">
        <f t="shared" si="3"/>
        <v>10.554829011324264</v>
      </c>
    </row>
    <row r="60" spans="1:12" x14ac:dyDescent="0.25">
      <c r="A60" t="s">
        <v>79</v>
      </c>
      <c r="B60" s="4">
        <v>645</v>
      </c>
      <c r="C60" t="str">
        <f>VLOOKUP(B60,'[1]Route types'!A:B,2,FALSE)</f>
        <v>Commuter &amp; Express Bus</v>
      </c>
      <c r="D60" s="4" t="s">
        <v>14</v>
      </c>
      <c r="E60" s="5">
        <v>2753144.1873498987</v>
      </c>
      <c r="F60" s="75">
        <v>142092.72163584112</v>
      </c>
      <c r="G60" s="6">
        <v>106492.43482388816</v>
      </c>
      <c r="H60" s="7">
        <v>12588.419999999942</v>
      </c>
      <c r="I60" s="5">
        <f t="shared" si="0"/>
        <v>2611051.4657140574</v>
      </c>
      <c r="J60" s="5">
        <f t="shared" si="1"/>
        <v>24.518656841982089</v>
      </c>
      <c r="K60" s="76">
        <f t="shared" si="2"/>
        <v>5.1611071548205288E-2</v>
      </c>
      <c r="L60" s="77">
        <f t="shared" si="3"/>
        <v>8.4595552757128107</v>
      </c>
    </row>
    <row r="61" spans="1:12" x14ac:dyDescent="0.25">
      <c r="A61" t="s">
        <v>79</v>
      </c>
      <c r="B61" s="4">
        <v>652</v>
      </c>
      <c r="C61" t="str">
        <f>VLOOKUP(B61,'[1]Route types'!A:B,2,FALSE)</f>
        <v>Commuter &amp; Express Bus</v>
      </c>
      <c r="D61" s="4" t="s">
        <v>14</v>
      </c>
      <c r="E61" s="5">
        <v>80965.82847262772</v>
      </c>
      <c r="F61" s="75">
        <v>8800.531165698525</v>
      </c>
      <c r="G61" s="6">
        <v>4663.1269151350953</v>
      </c>
      <c r="H61" s="7">
        <v>290.60000000000031</v>
      </c>
      <c r="I61" s="5">
        <f t="shared" si="0"/>
        <v>72165.297306929191</v>
      </c>
      <c r="J61" s="5">
        <f t="shared" si="1"/>
        <v>15.475730903377844</v>
      </c>
      <c r="K61" s="76">
        <f t="shared" si="2"/>
        <v>0.10869438788826497</v>
      </c>
      <c r="L61" s="77">
        <f t="shared" si="3"/>
        <v>16.046548228269408</v>
      </c>
    </row>
    <row r="62" spans="1:12" x14ac:dyDescent="0.25">
      <c r="A62" t="s">
        <v>79</v>
      </c>
      <c r="B62" s="4">
        <v>663</v>
      </c>
      <c r="C62" t="str">
        <f>VLOOKUP(B62,'[1]Route types'!A:B,2,FALSE)</f>
        <v>Commuter &amp; Express Bus</v>
      </c>
      <c r="D62" s="4" t="s">
        <v>14</v>
      </c>
      <c r="E62" s="5">
        <v>128631.19523473912</v>
      </c>
      <c r="F62" s="75">
        <v>20397.026295198331</v>
      </c>
      <c r="G62" s="6">
        <v>3420.3345482312093</v>
      </c>
      <c r="H62" s="7">
        <v>373.91999999999871</v>
      </c>
      <c r="I62" s="5">
        <f t="shared" si="0"/>
        <v>108234.16893954079</v>
      </c>
      <c r="J62" s="5">
        <f t="shared" si="1"/>
        <v>31.644322335519188</v>
      </c>
      <c r="K62" s="76">
        <f t="shared" si="2"/>
        <v>0.15856982637824199</v>
      </c>
      <c r="L62" s="77">
        <f t="shared" si="3"/>
        <v>9.1472361687826833</v>
      </c>
    </row>
    <row r="63" spans="1:12" x14ac:dyDescent="0.25">
      <c r="A63" t="s">
        <v>79</v>
      </c>
      <c r="B63" s="4">
        <v>667</v>
      </c>
      <c r="C63" t="str">
        <f>VLOOKUP(B63,'[1]Route types'!A:B,2,FALSE)</f>
        <v>Commuter &amp; Express Bus</v>
      </c>
      <c r="D63" s="4" t="s">
        <v>14</v>
      </c>
      <c r="E63" s="5">
        <v>295249.69292592537</v>
      </c>
      <c r="F63" s="75">
        <v>35445.127394842813</v>
      </c>
      <c r="G63" s="6">
        <v>7117.9073936948234</v>
      </c>
      <c r="H63" s="7">
        <v>958.19999999999993</v>
      </c>
      <c r="I63" s="5">
        <f t="shared" si="0"/>
        <v>259804.56553108257</v>
      </c>
      <c r="J63" s="5">
        <f t="shared" si="1"/>
        <v>36.500132856634572</v>
      </c>
      <c r="K63" s="76">
        <f t="shared" si="2"/>
        <v>0.12005136074344902</v>
      </c>
      <c r="L63" s="77">
        <f t="shared" si="3"/>
        <v>7.4284151468324193</v>
      </c>
    </row>
    <row r="64" spans="1:12" x14ac:dyDescent="0.25">
      <c r="A64" t="s">
        <v>79</v>
      </c>
      <c r="B64" s="4">
        <v>673</v>
      </c>
      <c r="C64" t="str">
        <f>VLOOKUP(B64,'[1]Route types'!A:B,2,FALSE)</f>
        <v>Commuter &amp; Express Bus</v>
      </c>
      <c r="D64" s="4" t="s">
        <v>14</v>
      </c>
      <c r="E64" s="5">
        <v>106967.64851874269</v>
      </c>
      <c r="F64" s="75">
        <v>16523.308034829603</v>
      </c>
      <c r="G64" s="6">
        <v>3834.5986705325049</v>
      </c>
      <c r="H64" s="7">
        <v>404.79999999999944</v>
      </c>
      <c r="I64" s="5">
        <f t="shared" si="0"/>
        <v>90444.340483913082</v>
      </c>
      <c r="J64" s="5">
        <f t="shared" si="1"/>
        <v>23.586390194870958</v>
      </c>
      <c r="K64" s="76">
        <f t="shared" si="2"/>
        <v>0.15447014367091016</v>
      </c>
      <c r="L64" s="77">
        <f t="shared" si="3"/>
        <v>9.4728228026988894</v>
      </c>
    </row>
    <row r="65" spans="1:12" x14ac:dyDescent="0.25">
      <c r="A65" t="s">
        <v>79</v>
      </c>
      <c r="B65" s="4">
        <v>755</v>
      </c>
      <c r="C65" t="str">
        <f>VLOOKUP(B65,'[1]Route types'!A:B,2,FALSE)</f>
        <v>Commuter &amp; Express Bus</v>
      </c>
      <c r="D65" s="4" t="s">
        <v>14</v>
      </c>
      <c r="E65" s="5">
        <v>1235691.1266512249</v>
      </c>
      <c r="F65" s="75">
        <v>63896.337065750755</v>
      </c>
      <c r="G65" s="6">
        <v>34250.082973033263</v>
      </c>
      <c r="H65" s="7">
        <v>5089.689999999975</v>
      </c>
      <c r="I65" s="5">
        <f t="shared" si="0"/>
        <v>1171794.7895854742</v>
      </c>
      <c r="J65" s="5">
        <f t="shared" si="1"/>
        <v>34.212903674075321</v>
      </c>
      <c r="K65" s="76">
        <f t="shared" si="2"/>
        <v>5.1708987535511827E-2</v>
      </c>
      <c r="L65" s="77">
        <f t="shared" si="3"/>
        <v>6.7293062982290532</v>
      </c>
    </row>
    <row r="66" spans="1:12" x14ac:dyDescent="0.25">
      <c r="A66" t="s">
        <v>79</v>
      </c>
      <c r="B66" s="4">
        <v>756</v>
      </c>
      <c r="C66" t="str">
        <f>VLOOKUP(B66,'[1]Route types'!A:B,2,FALSE)</f>
        <v>Commuter &amp; Express Bus</v>
      </c>
      <c r="D66" s="4" t="s">
        <v>14</v>
      </c>
      <c r="E66" s="5">
        <v>114240.10671529015</v>
      </c>
      <c r="F66" s="75">
        <v>15267.073506319875</v>
      </c>
      <c r="G66" s="6">
        <v>2493.0202436952322</v>
      </c>
      <c r="H66" s="7">
        <v>401.44999999999976</v>
      </c>
      <c r="I66" s="5">
        <f t="shared" ref="I66:I129" si="4">E66-F66</f>
        <v>98973.033208970272</v>
      </c>
      <c r="J66" s="5">
        <f t="shared" ref="J66:J129" si="5">I66/G66</f>
        <v>39.700051958771645</v>
      </c>
      <c r="K66" s="76">
        <f t="shared" ref="K66:K129" si="6">F66/E66</f>
        <v>0.13364022448235771</v>
      </c>
      <c r="L66" s="77">
        <f t="shared" ref="L66:L129" si="7">G66/H66</f>
        <v>6.2100392170761829</v>
      </c>
    </row>
    <row r="67" spans="1:12" x14ac:dyDescent="0.25">
      <c r="A67" t="s">
        <v>79</v>
      </c>
      <c r="B67" s="4">
        <v>760</v>
      </c>
      <c r="C67" t="str">
        <f>VLOOKUP(B67,'[1]Route types'!A:B,2,FALSE)</f>
        <v>Commuter &amp; Express Bus</v>
      </c>
      <c r="D67" s="4" t="s">
        <v>14</v>
      </c>
      <c r="E67" s="5">
        <v>358253.66245046462</v>
      </c>
      <c r="F67" s="75">
        <v>58464.887327581302</v>
      </c>
      <c r="G67" s="6">
        <v>15159.942444831</v>
      </c>
      <c r="H67" s="7">
        <v>1315.6800000000023</v>
      </c>
      <c r="I67" s="5">
        <f t="shared" si="4"/>
        <v>299788.77512288332</v>
      </c>
      <c r="J67" s="5">
        <f t="shared" si="5"/>
        <v>19.775060242732032</v>
      </c>
      <c r="K67" s="76">
        <f t="shared" si="6"/>
        <v>0.16319410924561081</v>
      </c>
      <c r="L67" s="77">
        <f t="shared" si="7"/>
        <v>11.522514931313825</v>
      </c>
    </row>
    <row r="68" spans="1:12" x14ac:dyDescent="0.25">
      <c r="A68" t="s">
        <v>79</v>
      </c>
      <c r="B68" s="4">
        <v>761</v>
      </c>
      <c r="C68" t="str">
        <f>VLOOKUP(B68,'[1]Route types'!A:B,2,FALSE)</f>
        <v>Commuter &amp; Express Bus</v>
      </c>
      <c r="D68" s="4" t="s">
        <v>14</v>
      </c>
      <c r="E68" s="5">
        <v>164957.48394917403</v>
      </c>
      <c r="F68" s="75">
        <v>28998.375708129883</v>
      </c>
      <c r="G68" s="6">
        <v>5879.3638895837712</v>
      </c>
      <c r="H68" s="7">
        <v>611.67999999999893</v>
      </c>
      <c r="I68" s="5">
        <f t="shared" si="4"/>
        <v>135959.10824104416</v>
      </c>
      <c r="J68" s="5">
        <f t="shared" si="5"/>
        <v>23.124799007919439</v>
      </c>
      <c r="K68" s="76">
        <f t="shared" si="6"/>
        <v>0.17579302868771166</v>
      </c>
      <c r="L68" s="77">
        <f t="shared" si="7"/>
        <v>9.6118295343705551</v>
      </c>
    </row>
    <row r="69" spans="1:12" x14ac:dyDescent="0.25">
      <c r="A69" t="s">
        <v>79</v>
      </c>
      <c r="B69" s="4">
        <v>763</v>
      </c>
      <c r="C69" t="str">
        <f>VLOOKUP(B69,'[1]Route types'!A:B,2,FALSE)</f>
        <v>Commuter &amp; Express Bus</v>
      </c>
      <c r="D69" s="4" t="s">
        <v>14</v>
      </c>
      <c r="E69" s="5">
        <v>101204.01265730261</v>
      </c>
      <c r="F69" s="75">
        <v>25664.619355736082</v>
      </c>
      <c r="G69" s="6">
        <v>5009.4092327510507</v>
      </c>
      <c r="H69" s="7">
        <v>419.77999999999963</v>
      </c>
      <c r="I69" s="5">
        <f t="shared" si="4"/>
        <v>75539.393301566524</v>
      </c>
      <c r="J69" s="5">
        <f t="shared" si="5"/>
        <v>15.079501352713811</v>
      </c>
      <c r="K69" s="76">
        <f t="shared" si="6"/>
        <v>0.25359290290832348</v>
      </c>
      <c r="L69" s="77">
        <f t="shared" si="7"/>
        <v>11.933415676666479</v>
      </c>
    </row>
    <row r="70" spans="1:12" x14ac:dyDescent="0.25">
      <c r="A70" t="s">
        <v>79</v>
      </c>
      <c r="B70" s="4">
        <v>764</v>
      </c>
      <c r="C70" t="str">
        <f>VLOOKUP(B70,'[1]Route types'!A:B,2,FALSE)</f>
        <v>Commuter &amp; Express Bus</v>
      </c>
      <c r="D70" s="4" t="s">
        <v>14</v>
      </c>
      <c r="E70" s="5">
        <v>105468.6449840807</v>
      </c>
      <c r="F70" s="75">
        <v>28710.14429338335</v>
      </c>
      <c r="G70" s="6">
        <v>4669.5002093243465</v>
      </c>
      <c r="H70" s="7">
        <v>398.81999999999948</v>
      </c>
      <c r="I70" s="5">
        <f t="shared" si="4"/>
        <v>76758.500690697358</v>
      </c>
      <c r="J70" s="5">
        <f t="shared" si="5"/>
        <v>16.438269033037248</v>
      </c>
      <c r="K70" s="76">
        <f t="shared" si="6"/>
        <v>0.27221497249459137</v>
      </c>
      <c r="L70" s="77">
        <f t="shared" si="7"/>
        <v>11.708289978748189</v>
      </c>
    </row>
    <row r="71" spans="1:12" x14ac:dyDescent="0.25">
      <c r="A71" t="s">
        <v>79</v>
      </c>
      <c r="B71" s="4">
        <v>765</v>
      </c>
      <c r="C71" t="str">
        <f>VLOOKUP(B71,'[1]Route types'!A:B,2,FALSE)</f>
        <v>Commuter &amp; Express Bus</v>
      </c>
      <c r="D71" s="4" t="s">
        <v>14</v>
      </c>
      <c r="E71" s="5">
        <v>54644.897412037921</v>
      </c>
      <c r="F71" s="75">
        <v>1183.2326854734845</v>
      </c>
      <c r="G71" s="6">
        <v>749.92428293516571</v>
      </c>
      <c r="H71" s="7">
        <v>152.57000000000019</v>
      </c>
      <c r="I71" s="5">
        <f t="shared" si="4"/>
        <v>53461.664726564435</v>
      </c>
      <c r="J71" s="5">
        <f t="shared" si="5"/>
        <v>71.289416735937905</v>
      </c>
      <c r="K71" s="76">
        <f t="shared" si="6"/>
        <v>2.165312300893488E-2</v>
      </c>
      <c r="L71" s="77">
        <f t="shared" si="7"/>
        <v>4.915280087403584</v>
      </c>
    </row>
    <row r="72" spans="1:12" x14ac:dyDescent="0.25">
      <c r="A72" t="s">
        <v>79</v>
      </c>
      <c r="B72" s="4">
        <v>766</v>
      </c>
      <c r="C72" t="str">
        <f>VLOOKUP(B72,'[1]Route types'!A:B,2,FALSE)</f>
        <v>Commuter &amp; Express Bus</v>
      </c>
      <c r="D72" s="4" t="s">
        <v>14</v>
      </c>
      <c r="E72" s="5">
        <v>677626.51160395541</v>
      </c>
      <c r="F72" s="75">
        <v>55907.620179497193</v>
      </c>
      <c r="G72" s="6">
        <v>15865.253668441412</v>
      </c>
      <c r="H72" s="7">
        <v>2166.5200000000063</v>
      </c>
      <c r="I72" s="5">
        <f t="shared" si="4"/>
        <v>621718.89142445824</v>
      </c>
      <c r="J72" s="5">
        <f t="shared" si="5"/>
        <v>39.187453564714126</v>
      </c>
      <c r="K72" s="76">
        <f t="shared" si="6"/>
        <v>8.2505066171573993E-2</v>
      </c>
      <c r="L72" s="77">
        <f t="shared" si="7"/>
        <v>7.3229204754358905</v>
      </c>
    </row>
    <row r="73" spans="1:12" x14ac:dyDescent="0.25">
      <c r="A73" t="s">
        <v>79</v>
      </c>
      <c r="B73" s="4">
        <v>768</v>
      </c>
      <c r="C73" t="str">
        <f>VLOOKUP(B73,'[1]Route types'!A:B,2,FALSE)</f>
        <v>Commuter &amp; Express Bus</v>
      </c>
      <c r="D73" s="4" t="s">
        <v>14</v>
      </c>
      <c r="E73" s="5">
        <v>703616.8763828855</v>
      </c>
      <c r="F73" s="75">
        <v>147007.54422030924</v>
      </c>
      <c r="G73" s="6">
        <v>27912.904117521652</v>
      </c>
      <c r="H73" s="7">
        <v>1884.4899999999875</v>
      </c>
      <c r="I73" s="5">
        <f t="shared" si="4"/>
        <v>556609.33216257626</v>
      </c>
      <c r="J73" s="5">
        <f t="shared" si="5"/>
        <v>19.94093233076304</v>
      </c>
      <c r="K73" s="76">
        <f t="shared" si="6"/>
        <v>0.20893123680608322</v>
      </c>
      <c r="L73" s="77">
        <f t="shared" si="7"/>
        <v>14.811914161137409</v>
      </c>
    </row>
    <row r="74" spans="1:12" x14ac:dyDescent="0.25">
      <c r="A74" t="s">
        <v>79</v>
      </c>
      <c r="B74" s="4">
        <v>850</v>
      </c>
      <c r="C74" t="str">
        <f>VLOOKUP(B74,'[1]Route types'!A:B,2,FALSE)</f>
        <v>Commuter &amp; Express Bus</v>
      </c>
      <c r="D74" s="4" t="s">
        <v>14</v>
      </c>
      <c r="E74" s="5">
        <v>1076837.6636455916</v>
      </c>
      <c r="F74" s="75">
        <v>260925.21447304395</v>
      </c>
      <c r="G74" s="6">
        <v>45113.362918611085</v>
      </c>
      <c r="H74" s="7">
        <v>3262.130000000001</v>
      </c>
      <c r="I74" s="5">
        <f t="shared" si="4"/>
        <v>815912.44917254767</v>
      </c>
      <c r="J74" s="5">
        <f t="shared" si="5"/>
        <v>18.085826380191019</v>
      </c>
      <c r="K74" s="76">
        <f t="shared" si="6"/>
        <v>0.24230691707948984</v>
      </c>
      <c r="L74" s="77">
        <f t="shared" si="7"/>
        <v>13.829419096912469</v>
      </c>
    </row>
    <row r="75" spans="1:12" x14ac:dyDescent="0.25">
      <c r="A75" t="s">
        <v>79</v>
      </c>
      <c r="B75" s="4">
        <v>852</v>
      </c>
      <c r="C75" t="str">
        <f>VLOOKUP(B75,'[1]Route types'!A:B,2,FALSE)</f>
        <v>Commuter &amp; Express Bus</v>
      </c>
      <c r="D75" s="4" t="s">
        <v>14</v>
      </c>
      <c r="E75" s="5">
        <v>2416809.3604270127</v>
      </c>
      <c r="F75" s="75">
        <v>141609.56470100913</v>
      </c>
      <c r="G75" s="6">
        <v>73062.382369871819</v>
      </c>
      <c r="H75" s="7">
        <v>10833.750000000031</v>
      </c>
      <c r="I75" s="5">
        <f t="shared" si="4"/>
        <v>2275199.7957260036</v>
      </c>
      <c r="J75" s="5">
        <f t="shared" si="5"/>
        <v>31.140509273404291</v>
      </c>
      <c r="K75" s="76">
        <f t="shared" si="6"/>
        <v>5.8593601555725905E-2</v>
      </c>
      <c r="L75" s="77">
        <f t="shared" si="7"/>
        <v>6.7439605279678423</v>
      </c>
    </row>
    <row r="76" spans="1:12" x14ac:dyDescent="0.25">
      <c r="A76" t="s">
        <v>79</v>
      </c>
      <c r="B76" s="4">
        <v>645</v>
      </c>
      <c r="C76" t="str">
        <f>VLOOKUP(B76,'[1]Route types'!A:B,2,FALSE)</f>
        <v>Commuter &amp; Express Bus</v>
      </c>
      <c r="D76" s="4" t="s">
        <v>17</v>
      </c>
      <c r="E76" s="5">
        <v>254557.31094677566</v>
      </c>
      <c r="F76" s="75">
        <v>7686.3753149129143</v>
      </c>
      <c r="G76" s="6">
        <v>9389.9867721626997</v>
      </c>
      <c r="H76" s="7">
        <v>1292.8499999999997</v>
      </c>
      <c r="I76" s="5">
        <f t="shared" si="4"/>
        <v>246870.93563186275</v>
      </c>
      <c r="J76" s="5">
        <f t="shared" si="5"/>
        <v>26.290871501941798</v>
      </c>
      <c r="K76" s="76">
        <f t="shared" si="6"/>
        <v>3.0195068003841488E-2</v>
      </c>
      <c r="L76" s="77">
        <f t="shared" si="7"/>
        <v>7.263013321083422</v>
      </c>
    </row>
    <row r="77" spans="1:12" x14ac:dyDescent="0.25">
      <c r="A77" t="s">
        <v>79</v>
      </c>
      <c r="B77" s="4">
        <v>852</v>
      </c>
      <c r="C77" t="str">
        <f>VLOOKUP(B77,'[1]Route types'!A:B,2,FALSE)</f>
        <v>Commuter &amp; Express Bus</v>
      </c>
      <c r="D77" s="4" t="s">
        <v>17</v>
      </c>
      <c r="E77" s="5">
        <v>217291.69032306559</v>
      </c>
      <c r="F77" s="75">
        <v>6936.3840572588515</v>
      </c>
      <c r="G77" s="6">
        <v>7026.5568436488966</v>
      </c>
      <c r="H77" s="7">
        <v>987.4</v>
      </c>
      <c r="I77" s="5">
        <f t="shared" si="4"/>
        <v>210355.30626580675</v>
      </c>
      <c r="J77" s="5">
        <f t="shared" si="5"/>
        <v>29.937181317467157</v>
      </c>
      <c r="K77" s="76">
        <f t="shared" si="6"/>
        <v>3.1921994103621516E-2</v>
      </c>
      <c r="L77" s="77">
        <f t="shared" si="7"/>
        <v>7.116221231161532</v>
      </c>
    </row>
    <row r="78" spans="1:12" x14ac:dyDescent="0.25">
      <c r="A78" t="s">
        <v>79</v>
      </c>
      <c r="B78" s="4">
        <v>645</v>
      </c>
      <c r="C78" t="str">
        <f>VLOOKUP(B78,'[1]Route types'!A:B,2,FALSE)</f>
        <v>Commuter &amp; Express Bus</v>
      </c>
      <c r="D78" s="4" t="s">
        <v>18</v>
      </c>
      <c r="E78" s="5">
        <v>209441.55936698205</v>
      </c>
      <c r="F78" s="75">
        <v>5512.4340876357019</v>
      </c>
      <c r="G78" s="6">
        <v>6190.5930891588478</v>
      </c>
      <c r="H78" s="7">
        <v>1049.9399999999994</v>
      </c>
      <c r="I78" s="5">
        <f t="shared" si="4"/>
        <v>203929.12527934636</v>
      </c>
      <c r="J78" s="5">
        <f t="shared" si="5"/>
        <v>32.941775100106831</v>
      </c>
      <c r="K78" s="76">
        <f t="shared" si="6"/>
        <v>2.6319676497331902E-2</v>
      </c>
      <c r="L78" s="77">
        <f t="shared" si="7"/>
        <v>5.8961398643340113</v>
      </c>
    </row>
    <row r="79" spans="1:12" x14ac:dyDescent="0.25">
      <c r="A79" t="s">
        <v>76</v>
      </c>
      <c r="B79" s="4">
        <v>747</v>
      </c>
      <c r="C79" t="s">
        <v>74</v>
      </c>
      <c r="D79" s="4" t="s">
        <v>14</v>
      </c>
      <c r="E79" s="5">
        <v>992189.58507672918</v>
      </c>
      <c r="F79" s="75">
        <v>20712.555786902183</v>
      </c>
      <c r="G79" s="6">
        <v>19015</v>
      </c>
      <c r="H79" s="7">
        <v>4309.2600000000011</v>
      </c>
      <c r="I79" s="5">
        <f t="shared" si="4"/>
        <v>971477.02928982698</v>
      </c>
      <c r="J79" s="5">
        <f t="shared" si="5"/>
        <v>51.090035723893081</v>
      </c>
      <c r="K79" s="76">
        <f t="shared" si="6"/>
        <v>2.0875602907382277E-2</v>
      </c>
      <c r="L79" s="77">
        <f t="shared" si="7"/>
        <v>4.4125905607923395</v>
      </c>
    </row>
    <row r="80" spans="1:12" x14ac:dyDescent="0.25">
      <c r="A80" t="s">
        <v>76</v>
      </c>
      <c r="B80" s="4">
        <v>774</v>
      </c>
      <c r="C80" t="s">
        <v>74</v>
      </c>
      <c r="D80" s="4" t="s">
        <v>14</v>
      </c>
      <c r="E80" s="5">
        <v>933220.20644890936</v>
      </c>
      <c r="F80" s="75">
        <v>28146.102964212761</v>
      </c>
      <c r="G80" s="6">
        <v>19409</v>
      </c>
      <c r="H80" s="7">
        <v>4325.2499999999991</v>
      </c>
      <c r="I80" s="5">
        <f t="shared" si="4"/>
        <v>905074.10348469659</v>
      </c>
      <c r="J80" s="5">
        <f t="shared" si="5"/>
        <v>46.631671053876893</v>
      </c>
      <c r="K80" s="76">
        <f t="shared" si="6"/>
        <v>3.0160194528271463E-2</v>
      </c>
      <c r="L80" s="77">
        <f t="shared" si="7"/>
        <v>4.48737067221548</v>
      </c>
    </row>
    <row r="81" spans="1:13" x14ac:dyDescent="0.25">
      <c r="A81" t="s">
        <v>76</v>
      </c>
      <c r="B81" s="4">
        <v>776</v>
      </c>
      <c r="C81" t="s">
        <v>74</v>
      </c>
      <c r="D81" s="4" t="s">
        <v>14</v>
      </c>
      <c r="E81" s="5">
        <v>481158.34166814724</v>
      </c>
      <c r="F81" s="75">
        <v>6726.1476249952893</v>
      </c>
      <c r="G81" s="6">
        <v>4743</v>
      </c>
      <c r="H81" s="7">
        <v>2089.7999999999997</v>
      </c>
      <c r="I81" s="5">
        <f t="shared" si="4"/>
        <v>474432.19404315198</v>
      </c>
      <c r="J81" s="5">
        <f t="shared" si="5"/>
        <v>100.02787139851401</v>
      </c>
      <c r="K81" s="76">
        <f t="shared" si="6"/>
        <v>1.397907308782414E-2</v>
      </c>
      <c r="L81" s="77">
        <f t="shared" si="7"/>
        <v>2.2695951765719209</v>
      </c>
    </row>
    <row r="82" spans="1:13" x14ac:dyDescent="0.25">
      <c r="A82" t="s">
        <v>76</v>
      </c>
      <c r="B82" s="4">
        <v>790</v>
      </c>
      <c r="C82" t="s">
        <v>74</v>
      </c>
      <c r="D82" s="4" t="s">
        <v>14</v>
      </c>
      <c r="E82" s="5">
        <v>461533.06168636645</v>
      </c>
      <c r="F82" s="75">
        <v>10633.472540167826</v>
      </c>
      <c r="G82" s="6">
        <v>7404</v>
      </c>
      <c r="H82" s="7">
        <v>2228.6</v>
      </c>
      <c r="I82" s="5">
        <f t="shared" si="4"/>
        <v>450899.58914619865</v>
      </c>
      <c r="J82" s="5">
        <f t="shared" si="5"/>
        <v>60.899458285548171</v>
      </c>
      <c r="K82" s="76">
        <f t="shared" si="6"/>
        <v>2.3039460057996394E-2</v>
      </c>
      <c r="L82" s="77">
        <f t="shared" si="7"/>
        <v>3.3222650991653953</v>
      </c>
    </row>
    <row r="83" spans="1:13" x14ac:dyDescent="0.25">
      <c r="A83" t="s">
        <v>76</v>
      </c>
      <c r="B83" s="4">
        <v>795</v>
      </c>
      <c r="C83" t="s">
        <v>74</v>
      </c>
      <c r="D83" s="4" t="s">
        <v>14</v>
      </c>
      <c r="E83" s="5">
        <v>102740.74393018748</v>
      </c>
      <c r="F83" s="75">
        <v>3008.2663878751405</v>
      </c>
      <c r="G83" s="6">
        <v>2114</v>
      </c>
      <c r="H83" s="7">
        <v>428.03999999999996</v>
      </c>
      <c r="I83" s="5">
        <f t="shared" si="4"/>
        <v>99732.47754231235</v>
      </c>
      <c r="J83" s="5">
        <f t="shared" si="5"/>
        <v>47.177141694565918</v>
      </c>
      <c r="K83" s="76">
        <f t="shared" si="6"/>
        <v>2.9280169412820904E-2</v>
      </c>
      <c r="L83" s="77">
        <f t="shared" si="7"/>
        <v>4.9387907672180171</v>
      </c>
    </row>
    <row r="84" spans="1:13" x14ac:dyDescent="0.25">
      <c r="A84" t="s">
        <v>79</v>
      </c>
      <c r="B84" s="4">
        <v>888</v>
      </c>
      <c r="C84" t="str">
        <f>VLOOKUP(B84,'[1]Route types'!A:B,2,FALSE)</f>
        <v>Commuter Rail</v>
      </c>
      <c r="D84" s="4" t="s">
        <v>14</v>
      </c>
      <c r="E84" s="5">
        <v>8939965.3900000006</v>
      </c>
      <c r="F84" s="75">
        <v>147588.18</v>
      </c>
      <c r="G84" s="6">
        <v>50432.6</v>
      </c>
      <c r="H84" s="7">
        <v>888.32000000000494</v>
      </c>
      <c r="I84" s="5">
        <f t="shared" si="4"/>
        <v>8792377.2100000009</v>
      </c>
      <c r="J84" s="5">
        <f t="shared" si="5"/>
        <v>174.33916177234568</v>
      </c>
      <c r="K84" s="76">
        <f t="shared" si="6"/>
        <v>1.6508808878062109E-2</v>
      </c>
      <c r="L84" s="77">
        <f t="shared" si="7"/>
        <v>56.773009726224466</v>
      </c>
    </row>
    <row r="85" spans="1:13" x14ac:dyDescent="0.25">
      <c r="A85" t="s">
        <v>15</v>
      </c>
      <c r="B85" s="4">
        <v>67</v>
      </c>
      <c r="C85" t="s">
        <v>27</v>
      </c>
      <c r="D85" s="4" t="s">
        <v>14</v>
      </c>
      <c r="E85" s="5">
        <v>1063660</v>
      </c>
      <c r="F85" s="75">
        <v>72983.228999999628</v>
      </c>
      <c r="G85" s="6">
        <v>72073</v>
      </c>
      <c r="H85" s="7">
        <v>11819</v>
      </c>
      <c r="I85" s="5">
        <f t="shared" si="4"/>
        <v>990676.77100000042</v>
      </c>
      <c r="J85" s="5">
        <f t="shared" si="5"/>
        <v>13.745463224785986</v>
      </c>
      <c r="K85" s="76">
        <f t="shared" si="6"/>
        <v>6.8615186243724147E-2</v>
      </c>
      <c r="L85" s="77">
        <f t="shared" si="7"/>
        <v>6.0980624418309501</v>
      </c>
    </row>
    <row r="86" spans="1:13" x14ac:dyDescent="0.25">
      <c r="A86" t="s">
        <v>15</v>
      </c>
      <c r="B86" s="4">
        <v>67</v>
      </c>
      <c r="C86" t="s">
        <v>27</v>
      </c>
      <c r="D86" s="4" t="s">
        <v>17</v>
      </c>
      <c r="E86" s="5">
        <v>190734</v>
      </c>
      <c r="F86" s="75">
        <v>7944.0480000000089</v>
      </c>
      <c r="G86" s="6">
        <v>9094</v>
      </c>
      <c r="H86" s="7">
        <v>1984</v>
      </c>
      <c r="I86" s="5">
        <f t="shared" si="4"/>
        <v>182789.95199999999</v>
      </c>
      <c r="J86" s="5">
        <f t="shared" si="5"/>
        <v>20.100060699362217</v>
      </c>
      <c r="K86" s="76">
        <f t="shared" si="6"/>
        <v>4.1649878888923887E-2</v>
      </c>
      <c r="L86" s="77">
        <f t="shared" si="7"/>
        <v>4.58366935483871</v>
      </c>
    </row>
    <row r="87" spans="1:13" x14ac:dyDescent="0.25">
      <c r="A87" t="s">
        <v>79</v>
      </c>
      <c r="B87" s="4">
        <v>2</v>
      </c>
      <c r="C87" t="str">
        <f>VLOOKUP(B87,'[1]Route types'!A:B,2,FALSE)</f>
        <v>Core Local</v>
      </c>
      <c r="D87" s="4" t="s">
        <v>14</v>
      </c>
      <c r="E87" s="5">
        <v>7303783.4429012313</v>
      </c>
      <c r="F87" s="75">
        <v>644248.73390352132</v>
      </c>
      <c r="G87" s="6">
        <v>682014.70891730313</v>
      </c>
      <c r="H87" s="7">
        <v>32211.850000000202</v>
      </c>
      <c r="I87" s="5">
        <f t="shared" si="4"/>
        <v>6659534.7089977097</v>
      </c>
      <c r="J87" s="5">
        <f t="shared" si="5"/>
        <v>9.7645030553222334</v>
      </c>
      <c r="K87" s="76">
        <f t="shared" si="6"/>
        <v>8.8207535031680898E-2</v>
      </c>
      <c r="L87" s="77">
        <f t="shared" si="7"/>
        <v>21.172789172844741</v>
      </c>
      <c r="M87" t="s">
        <v>84</v>
      </c>
    </row>
    <row r="88" spans="1:13" x14ac:dyDescent="0.25">
      <c r="A88" t="s">
        <v>79</v>
      </c>
      <c r="B88" s="4">
        <v>3</v>
      </c>
      <c r="C88" t="str">
        <f>VLOOKUP(B88,'[1]Route types'!A:B,2,FALSE)</f>
        <v>Core Local</v>
      </c>
      <c r="D88" s="4" t="s">
        <v>14</v>
      </c>
      <c r="E88" s="5">
        <v>9815123.3046161197</v>
      </c>
      <c r="F88" s="75">
        <v>635225.70279199886</v>
      </c>
      <c r="G88" s="6">
        <v>606128.95722159324</v>
      </c>
      <c r="H88" s="7">
        <v>45256.510000000068</v>
      </c>
      <c r="I88" s="5">
        <f t="shared" si="4"/>
        <v>9179897.6018241215</v>
      </c>
      <c r="J88" s="5">
        <f t="shared" si="5"/>
        <v>15.145122984889937</v>
      </c>
      <c r="K88" s="76">
        <f t="shared" si="6"/>
        <v>6.4719075153467295E-2</v>
      </c>
      <c r="L88" s="77">
        <f t="shared" si="7"/>
        <v>13.39318823350701</v>
      </c>
    </row>
    <row r="89" spans="1:13" x14ac:dyDescent="0.25">
      <c r="A89" t="s">
        <v>79</v>
      </c>
      <c r="B89" s="4">
        <v>4</v>
      </c>
      <c r="C89" t="str">
        <f>VLOOKUP(B89,'[1]Route types'!A:B,2,FALSE)</f>
        <v>Core Local</v>
      </c>
      <c r="D89" s="4" t="s">
        <v>14</v>
      </c>
      <c r="E89" s="5">
        <v>8835480.3101126589</v>
      </c>
      <c r="F89" s="75">
        <v>720879.63634641387</v>
      </c>
      <c r="G89" s="6">
        <v>524836.52762200229</v>
      </c>
      <c r="H89" s="7">
        <v>40754.440000000126</v>
      </c>
      <c r="I89" s="5">
        <f t="shared" si="4"/>
        <v>8114600.6737662451</v>
      </c>
      <c r="J89" s="5">
        <f t="shared" si="5"/>
        <v>15.46119648061261</v>
      </c>
      <c r="K89" s="76">
        <f t="shared" si="6"/>
        <v>8.1589184859744437E-2</v>
      </c>
      <c r="L89" s="77">
        <f t="shared" si="7"/>
        <v>12.878020839496278</v>
      </c>
    </row>
    <row r="90" spans="1:13" x14ac:dyDescent="0.25">
      <c r="A90" t="s">
        <v>79</v>
      </c>
      <c r="B90" s="4">
        <v>5</v>
      </c>
      <c r="C90" t="str">
        <f>VLOOKUP(B90,'[1]Route types'!A:B,2,FALSE)</f>
        <v>Core Local</v>
      </c>
      <c r="D90" s="4" t="s">
        <v>14</v>
      </c>
      <c r="E90" s="5">
        <v>14388617.454670873</v>
      </c>
      <c r="F90" s="75">
        <v>1452855.4534670364</v>
      </c>
      <c r="G90" s="6">
        <v>1415371.6136075116</v>
      </c>
      <c r="H90" s="7">
        <v>67680.1899999999</v>
      </c>
      <c r="I90" s="5">
        <f t="shared" si="4"/>
        <v>12935762.001203837</v>
      </c>
      <c r="J90" s="5">
        <f t="shared" si="5"/>
        <v>9.1394810216894573</v>
      </c>
      <c r="K90" s="76">
        <f t="shared" si="6"/>
        <v>0.10097255403752543</v>
      </c>
      <c r="L90" s="77">
        <f t="shared" si="7"/>
        <v>20.912642438023795</v>
      </c>
    </row>
    <row r="91" spans="1:13" x14ac:dyDescent="0.25">
      <c r="A91" t="s">
        <v>79</v>
      </c>
      <c r="B91" s="4">
        <v>6</v>
      </c>
      <c r="C91" t="str">
        <f>VLOOKUP(B91,'[1]Route types'!A:B,2,FALSE)</f>
        <v>Core Local</v>
      </c>
      <c r="D91" s="4" t="s">
        <v>14</v>
      </c>
      <c r="E91" s="5">
        <v>12734768.164051913</v>
      </c>
      <c r="F91" s="75">
        <v>1003668.5715844785</v>
      </c>
      <c r="G91" s="6">
        <v>773043.40760667273</v>
      </c>
      <c r="H91" s="7">
        <v>57105.899999999878</v>
      </c>
      <c r="I91" s="5">
        <f t="shared" si="4"/>
        <v>11731099.592467435</v>
      </c>
      <c r="J91" s="5">
        <f t="shared" si="5"/>
        <v>15.175214583081033</v>
      </c>
      <c r="K91" s="76">
        <f t="shared" si="6"/>
        <v>7.8813258212086207E-2</v>
      </c>
      <c r="L91" s="77">
        <f t="shared" si="7"/>
        <v>13.537014697372328</v>
      </c>
    </row>
    <row r="92" spans="1:13" x14ac:dyDescent="0.25">
      <c r="A92" t="s">
        <v>79</v>
      </c>
      <c r="B92" s="4">
        <v>7</v>
      </c>
      <c r="C92" t="str">
        <f>VLOOKUP(B92,'[1]Route types'!A:B,2,FALSE)</f>
        <v>Core Local</v>
      </c>
      <c r="D92" s="4" t="s">
        <v>14</v>
      </c>
      <c r="E92" s="5">
        <v>3682927.313191731</v>
      </c>
      <c r="F92" s="75">
        <v>172504.49781858185</v>
      </c>
      <c r="G92" s="6">
        <v>143500.02974947056</v>
      </c>
      <c r="H92" s="7">
        <v>18293.279999999966</v>
      </c>
      <c r="I92" s="5">
        <f t="shared" si="4"/>
        <v>3510422.8153731492</v>
      </c>
      <c r="J92" s="5">
        <f t="shared" si="5"/>
        <v>24.462871690701519</v>
      </c>
      <c r="K92" s="76">
        <f t="shared" si="6"/>
        <v>4.6838963451897309E-2</v>
      </c>
      <c r="L92" s="77">
        <f t="shared" si="7"/>
        <v>7.8444122513551875</v>
      </c>
      <c r="M92" t="s">
        <v>85</v>
      </c>
    </row>
    <row r="93" spans="1:13" x14ac:dyDescent="0.25">
      <c r="A93" t="s">
        <v>79</v>
      </c>
      <c r="B93" s="4">
        <v>9</v>
      </c>
      <c r="C93" t="str">
        <f>VLOOKUP(B93,'[1]Route types'!A:B,2,FALSE)</f>
        <v>Core Local</v>
      </c>
      <c r="D93" s="4" t="s">
        <v>14</v>
      </c>
      <c r="E93" s="5">
        <v>5142305.4421894345</v>
      </c>
      <c r="F93" s="75">
        <v>349029.51252200466</v>
      </c>
      <c r="G93" s="6">
        <v>270132.07421139092</v>
      </c>
      <c r="H93" s="7">
        <v>21786.879999999954</v>
      </c>
      <c r="I93" s="5">
        <f t="shared" si="4"/>
        <v>4793275.92966743</v>
      </c>
      <c r="J93" s="5">
        <f t="shared" si="5"/>
        <v>17.744193997179575</v>
      </c>
      <c r="K93" s="76">
        <f t="shared" si="6"/>
        <v>6.7874130863257068E-2</v>
      </c>
      <c r="L93" s="77">
        <f t="shared" si="7"/>
        <v>12.398841606113013</v>
      </c>
    </row>
    <row r="94" spans="1:13" x14ac:dyDescent="0.25">
      <c r="A94" t="s">
        <v>79</v>
      </c>
      <c r="B94" s="4">
        <v>10</v>
      </c>
      <c r="C94" t="str">
        <f>VLOOKUP(B94,'[1]Route types'!A:B,2,FALSE)</f>
        <v>Core Local</v>
      </c>
      <c r="D94" s="4" t="s">
        <v>14</v>
      </c>
      <c r="E94" s="5">
        <v>10416443.008558841</v>
      </c>
      <c r="F94" s="75">
        <v>801931.57213784743</v>
      </c>
      <c r="G94" s="6">
        <v>873054.2022400928</v>
      </c>
      <c r="H94" s="7">
        <v>47167.990000000049</v>
      </c>
      <c r="I94" s="5">
        <f t="shared" si="4"/>
        <v>9614511.4364209939</v>
      </c>
      <c r="J94" s="5">
        <f t="shared" si="5"/>
        <v>11.012502330040869</v>
      </c>
      <c r="K94" s="76">
        <f t="shared" si="6"/>
        <v>7.6987083928643119E-2</v>
      </c>
      <c r="L94" s="77">
        <f t="shared" si="7"/>
        <v>18.509463774905225</v>
      </c>
      <c r="M94" t="s">
        <v>86</v>
      </c>
    </row>
    <row r="95" spans="1:13" x14ac:dyDescent="0.25">
      <c r="A95" t="s">
        <v>79</v>
      </c>
      <c r="B95" s="4">
        <v>11</v>
      </c>
      <c r="C95" t="str">
        <f>VLOOKUP(B95,'[1]Route types'!A:B,2,FALSE)</f>
        <v>Core Local</v>
      </c>
      <c r="D95" s="4" t="s">
        <v>14</v>
      </c>
      <c r="E95" s="5">
        <v>7115938.3351138784</v>
      </c>
      <c r="F95" s="75">
        <v>657744.6680941626</v>
      </c>
      <c r="G95" s="6">
        <v>524101.47435884213</v>
      </c>
      <c r="H95" s="7">
        <v>32600.159999999985</v>
      </c>
      <c r="I95" s="5">
        <f t="shared" si="4"/>
        <v>6458193.6670197155</v>
      </c>
      <c r="J95" s="5">
        <f t="shared" si="5"/>
        <v>12.322410798253003</v>
      </c>
      <c r="K95" s="76">
        <f t="shared" si="6"/>
        <v>9.2432598080353728E-2</v>
      </c>
      <c r="L95" s="77">
        <f t="shared" si="7"/>
        <v>16.076653438475223</v>
      </c>
    </row>
    <row r="96" spans="1:13" x14ac:dyDescent="0.25">
      <c r="A96" t="s">
        <v>79</v>
      </c>
      <c r="B96" s="4">
        <v>12</v>
      </c>
      <c r="C96" t="str">
        <f>VLOOKUP(B96,'[1]Route types'!A:B,2,FALSE)</f>
        <v>Core Local</v>
      </c>
      <c r="D96" s="4" t="s">
        <v>14</v>
      </c>
      <c r="E96" s="5">
        <v>988609.19577686233</v>
      </c>
      <c r="F96" s="75">
        <v>81721.737638020961</v>
      </c>
      <c r="G96" s="6">
        <v>45789.994318369871</v>
      </c>
      <c r="H96" s="7">
        <v>4479.6599999999899</v>
      </c>
      <c r="I96" s="5">
        <f t="shared" si="4"/>
        <v>906887.45813884132</v>
      </c>
      <c r="J96" s="5">
        <f t="shared" si="5"/>
        <v>19.805362975880943</v>
      </c>
      <c r="K96" s="76">
        <f t="shared" si="6"/>
        <v>8.266333955532644E-2</v>
      </c>
      <c r="L96" s="77">
        <f t="shared" si="7"/>
        <v>10.221756632952049</v>
      </c>
    </row>
    <row r="97" spans="1:13" x14ac:dyDescent="0.25">
      <c r="A97" t="s">
        <v>79</v>
      </c>
      <c r="B97" s="4">
        <v>14</v>
      </c>
      <c r="C97" t="str">
        <f>VLOOKUP(B97,'[1]Route types'!A:B,2,FALSE)</f>
        <v>Core Local</v>
      </c>
      <c r="D97" s="4" t="s">
        <v>14</v>
      </c>
      <c r="E97" s="5">
        <v>8406600.0160585381</v>
      </c>
      <c r="F97" s="75">
        <v>715131.61895179341</v>
      </c>
      <c r="G97" s="6">
        <v>595171.14007887489</v>
      </c>
      <c r="H97" s="7">
        <v>38513.560000000034</v>
      </c>
      <c r="I97" s="5">
        <f t="shared" si="4"/>
        <v>7691468.3971067443</v>
      </c>
      <c r="J97" s="5">
        <f t="shared" si="5"/>
        <v>12.923120560058464</v>
      </c>
      <c r="K97" s="76">
        <f t="shared" si="6"/>
        <v>8.5067877332777542E-2</v>
      </c>
      <c r="L97" s="77">
        <f t="shared" si="7"/>
        <v>15.45354779144993</v>
      </c>
    </row>
    <row r="98" spans="1:13" x14ac:dyDescent="0.25">
      <c r="A98" t="s">
        <v>79</v>
      </c>
      <c r="B98" s="4">
        <v>17</v>
      </c>
      <c r="C98" t="str">
        <f>VLOOKUP(B98,'[1]Route types'!A:B,2,FALSE)</f>
        <v>Core Local</v>
      </c>
      <c r="D98" s="4" t="s">
        <v>14</v>
      </c>
      <c r="E98" s="5">
        <v>7717204.0356540894</v>
      </c>
      <c r="F98" s="75">
        <v>671045.51115255209</v>
      </c>
      <c r="G98" s="6">
        <v>604024.70792344236</v>
      </c>
      <c r="H98" s="7">
        <v>34266.570000000051</v>
      </c>
      <c r="I98" s="5">
        <f t="shared" si="4"/>
        <v>7046158.524501537</v>
      </c>
      <c r="J98" s="5">
        <f t="shared" si="5"/>
        <v>11.665348175450148</v>
      </c>
      <c r="K98" s="76">
        <f t="shared" si="6"/>
        <v>8.6954486113399246E-2</v>
      </c>
      <c r="L98" s="77">
        <f t="shared" si="7"/>
        <v>17.627229918939697</v>
      </c>
      <c r="M98" t="s">
        <v>87</v>
      </c>
    </row>
    <row r="99" spans="1:13" x14ac:dyDescent="0.25">
      <c r="A99" t="s">
        <v>79</v>
      </c>
      <c r="B99" s="4">
        <v>18</v>
      </c>
      <c r="C99" t="str">
        <f>VLOOKUP(B99,'[1]Route types'!A:B,2,FALSE)</f>
        <v>Core Local</v>
      </c>
      <c r="D99" s="4" t="s">
        <v>14</v>
      </c>
      <c r="E99" s="5">
        <v>12040934.085846087</v>
      </c>
      <c r="F99" s="75">
        <v>1139757.9349872386</v>
      </c>
      <c r="G99" s="6">
        <v>1241134.2481989833</v>
      </c>
      <c r="H99" s="7">
        <v>54851.950000000004</v>
      </c>
      <c r="I99" s="5">
        <f t="shared" si="4"/>
        <v>10901176.150858849</v>
      </c>
      <c r="J99" s="5">
        <f t="shared" si="5"/>
        <v>8.7832369195174547</v>
      </c>
      <c r="K99" s="76">
        <f t="shared" si="6"/>
        <v>9.4656936651368651E-2</v>
      </c>
      <c r="L99" s="77">
        <f t="shared" si="7"/>
        <v>22.626984969522198</v>
      </c>
    </row>
    <row r="100" spans="1:13" x14ac:dyDescent="0.25">
      <c r="A100" t="s">
        <v>79</v>
      </c>
      <c r="B100" s="4">
        <v>19</v>
      </c>
      <c r="C100" t="str">
        <f>VLOOKUP(B100,'[1]Route types'!A:B,2,FALSE)</f>
        <v>Core Local</v>
      </c>
      <c r="D100" s="4" t="s">
        <v>14</v>
      </c>
      <c r="E100" s="5">
        <v>2405542.2869159314</v>
      </c>
      <c r="F100" s="75">
        <v>128977.97696905748</v>
      </c>
      <c r="G100" s="6">
        <v>115937.65681235769</v>
      </c>
      <c r="H100" s="7">
        <v>9784.4899999999925</v>
      </c>
      <c r="I100" s="5">
        <f t="shared" si="4"/>
        <v>2276564.3099468737</v>
      </c>
      <c r="J100" s="5">
        <f t="shared" si="5"/>
        <v>19.636107650781991</v>
      </c>
      <c r="K100" s="76">
        <f t="shared" si="6"/>
        <v>5.3617006722594764E-2</v>
      </c>
      <c r="L100" s="77">
        <f t="shared" si="7"/>
        <v>11.84912619997136</v>
      </c>
    </row>
    <row r="101" spans="1:13" x14ac:dyDescent="0.25">
      <c r="A101" t="s">
        <v>79</v>
      </c>
      <c r="B101" s="4">
        <v>21</v>
      </c>
      <c r="C101" t="str">
        <f>VLOOKUP(B101,'[1]Route types'!A:B,2,FALSE)</f>
        <v>Core Local</v>
      </c>
      <c r="D101" s="4" t="s">
        <v>14</v>
      </c>
      <c r="E101" s="5">
        <v>12757690.153691595</v>
      </c>
      <c r="F101" s="75">
        <v>1187732.9808049586</v>
      </c>
      <c r="G101" s="6">
        <v>1257199.1984186878</v>
      </c>
      <c r="H101" s="7">
        <v>58903.280000000072</v>
      </c>
      <c r="I101" s="5">
        <f t="shared" si="4"/>
        <v>11569957.172886636</v>
      </c>
      <c r="J101" s="5">
        <f t="shared" si="5"/>
        <v>9.2029625754131832</v>
      </c>
      <c r="K101" s="76">
        <f t="shared" si="6"/>
        <v>9.3099375082508443E-2</v>
      </c>
      <c r="L101" s="77">
        <f t="shared" si="7"/>
        <v>21.343449777647123</v>
      </c>
    </row>
    <row r="102" spans="1:13" x14ac:dyDescent="0.25">
      <c r="A102" t="s">
        <v>79</v>
      </c>
      <c r="B102" s="4">
        <v>22</v>
      </c>
      <c r="C102" t="str">
        <f>VLOOKUP(B102,'[1]Route types'!A:B,2,FALSE)</f>
        <v>Core Local</v>
      </c>
      <c r="D102" s="4" t="s">
        <v>14</v>
      </c>
      <c r="E102" s="5">
        <v>9207568.6623907145</v>
      </c>
      <c r="F102" s="75">
        <v>709177.69595044153</v>
      </c>
      <c r="G102" s="6">
        <v>582248.22389447084</v>
      </c>
      <c r="H102" s="7">
        <v>43390.75</v>
      </c>
      <c r="I102" s="5">
        <f t="shared" si="4"/>
        <v>8498390.9664402734</v>
      </c>
      <c r="J102" s="5">
        <f t="shared" si="5"/>
        <v>14.595821193918418</v>
      </c>
      <c r="K102" s="76">
        <f t="shared" si="6"/>
        <v>7.7021168340253882E-2</v>
      </c>
      <c r="L102" s="77">
        <f t="shared" si="7"/>
        <v>13.418717673570308</v>
      </c>
      <c r="M102" t="s">
        <v>88</v>
      </c>
    </row>
    <row r="103" spans="1:13" x14ac:dyDescent="0.25">
      <c r="A103" t="s">
        <v>79</v>
      </c>
      <c r="B103" s="4">
        <v>25</v>
      </c>
      <c r="C103" t="str">
        <f>VLOOKUP(B103,'[1]Route types'!A:B,2,FALSE)</f>
        <v>Core Local</v>
      </c>
      <c r="D103" s="4" t="s">
        <v>14</v>
      </c>
      <c r="E103" s="5">
        <v>3025745.1805818006</v>
      </c>
      <c r="F103" s="75">
        <v>140196.18078761495</v>
      </c>
      <c r="G103" s="6">
        <v>88980.746823223657</v>
      </c>
      <c r="H103" s="7">
        <v>13515.510000000037</v>
      </c>
      <c r="I103" s="5">
        <f t="shared" si="4"/>
        <v>2885548.9997941856</v>
      </c>
      <c r="J103" s="5">
        <f t="shared" si="5"/>
        <v>32.428914150685323</v>
      </c>
      <c r="K103" s="76">
        <f t="shared" si="6"/>
        <v>4.6334430832889094E-2</v>
      </c>
      <c r="L103" s="77">
        <f t="shared" si="7"/>
        <v>6.5836026034698962</v>
      </c>
    </row>
    <row r="104" spans="1:13" x14ac:dyDescent="0.25">
      <c r="A104" t="s">
        <v>79</v>
      </c>
      <c r="B104" s="4">
        <v>54</v>
      </c>
      <c r="C104" t="str">
        <f>VLOOKUP(B104,'[1]Route types'!A:B,2,FALSE)</f>
        <v>Core Local</v>
      </c>
      <c r="D104" s="4" t="s">
        <v>14</v>
      </c>
      <c r="E104" s="5">
        <v>7477384.7441758281</v>
      </c>
      <c r="F104" s="75">
        <v>674680.08544435399</v>
      </c>
      <c r="G104" s="6">
        <v>638427.7499570176</v>
      </c>
      <c r="H104" s="7">
        <v>34177.469999999965</v>
      </c>
      <c r="I104" s="5">
        <f t="shared" si="4"/>
        <v>6802704.6587314736</v>
      </c>
      <c r="J104" s="5">
        <f t="shared" si="5"/>
        <v>10.655402524701454</v>
      </c>
      <c r="K104" s="76">
        <f t="shared" si="6"/>
        <v>9.0229419580136708E-2</v>
      </c>
      <c r="L104" s="77">
        <f t="shared" si="7"/>
        <v>18.679783786132159</v>
      </c>
    </row>
    <row r="105" spans="1:13" x14ac:dyDescent="0.25">
      <c r="A105" t="s">
        <v>79</v>
      </c>
      <c r="B105" s="4">
        <v>61</v>
      </c>
      <c r="C105" t="str">
        <f>VLOOKUP(B105,'[1]Route types'!A:B,2,FALSE)</f>
        <v>Core Local</v>
      </c>
      <c r="D105" s="4" t="s">
        <v>14</v>
      </c>
      <c r="E105" s="5">
        <v>4674552.5171720693</v>
      </c>
      <c r="F105" s="75">
        <v>378544.58162870246</v>
      </c>
      <c r="G105" s="6">
        <v>256879.8711605423</v>
      </c>
      <c r="H105" s="7">
        <v>21855.059999999983</v>
      </c>
      <c r="I105" s="5">
        <f t="shared" si="4"/>
        <v>4296007.9355433667</v>
      </c>
      <c r="J105" s="5">
        <f t="shared" si="5"/>
        <v>16.723801347823354</v>
      </c>
      <c r="K105" s="76">
        <f t="shared" si="6"/>
        <v>8.0979854272277565E-2</v>
      </c>
      <c r="L105" s="77">
        <f t="shared" si="7"/>
        <v>11.753793911366177</v>
      </c>
      <c r="M105" t="s">
        <v>88</v>
      </c>
    </row>
    <row r="106" spans="1:13" x14ac:dyDescent="0.25">
      <c r="A106" t="s">
        <v>79</v>
      </c>
      <c r="B106" s="4">
        <v>62</v>
      </c>
      <c r="C106" t="str">
        <f>VLOOKUP(B106,'[1]Route types'!A:B,2,FALSE)</f>
        <v>Core Local</v>
      </c>
      <c r="D106" s="4" t="s">
        <v>14</v>
      </c>
      <c r="E106" s="5">
        <v>4665625.5911004869</v>
      </c>
      <c r="F106" s="75">
        <v>321540.90700822882</v>
      </c>
      <c r="G106" s="6">
        <v>314443.46427785465</v>
      </c>
      <c r="H106" s="7">
        <v>20397.510000000075</v>
      </c>
      <c r="I106" s="5">
        <f t="shared" si="4"/>
        <v>4344084.6840922581</v>
      </c>
      <c r="J106" s="5">
        <f t="shared" si="5"/>
        <v>13.81515336650042</v>
      </c>
      <c r="K106" s="76">
        <f t="shared" si="6"/>
        <v>6.8916997459366761E-2</v>
      </c>
      <c r="L106" s="77">
        <f t="shared" si="7"/>
        <v>15.415776939334924</v>
      </c>
    </row>
    <row r="107" spans="1:13" x14ac:dyDescent="0.25">
      <c r="A107" t="s">
        <v>79</v>
      </c>
      <c r="B107" s="4">
        <v>63</v>
      </c>
      <c r="C107" t="str">
        <f>VLOOKUP(B107,'[1]Route types'!A:B,2,FALSE)</f>
        <v>Core Local</v>
      </c>
      <c r="D107" s="4" t="s">
        <v>14</v>
      </c>
      <c r="E107" s="5">
        <v>6707037.6634993777</v>
      </c>
      <c r="F107" s="75">
        <v>580850.49199002946</v>
      </c>
      <c r="G107" s="6">
        <v>502886.90243422292</v>
      </c>
      <c r="H107" s="7">
        <v>31544.890000000145</v>
      </c>
      <c r="I107" s="5">
        <f t="shared" si="4"/>
        <v>6126187.1715093479</v>
      </c>
      <c r="J107" s="5">
        <f t="shared" si="5"/>
        <v>12.18203763481521</v>
      </c>
      <c r="K107" s="76">
        <f t="shared" si="6"/>
        <v>8.660313556178427E-2</v>
      </c>
      <c r="L107" s="77">
        <f t="shared" si="7"/>
        <v>15.941945032435385</v>
      </c>
    </row>
    <row r="108" spans="1:13" x14ac:dyDescent="0.25">
      <c r="A108" t="s">
        <v>79</v>
      </c>
      <c r="B108" s="4">
        <v>64</v>
      </c>
      <c r="C108" t="str">
        <f>VLOOKUP(B108,'[1]Route types'!A:B,2,FALSE)</f>
        <v>Core Local</v>
      </c>
      <c r="D108" s="4" t="s">
        <v>14</v>
      </c>
      <c r="E108" s="5">
        <v>6489505.4125653999</v>
      </c>
      <c r="F108" s="75">
        <v>484537.41160784033</v>
      </c>
      <c r="G108" s="6">
        <v>496341.52930186247</v>
      </c>
      <c r="H108" s="7">
        <v>29080.669999999907</v>
      </c>
      <c r="I108" s="5">
        <f t="shared" si="4"/>
        <v>6004968.0009575598</v>
      </c>
      <c r="J108" s="5">
        <f t="shared" si="5"/>
        <v>12.098459722691246</v>
      </c>
      <c r="K108" s="76">
        <f t="shared" si="6"/>
        <v>7.4664767313337571E-2</v>
      </c>
      <c r="L108" s="77">
        <f t="shared" si="7"/>
        <v>17.067747383463448</v>
      </c>
    </row>
    <row r="109" spans="1:13" x14ac:dyDescent="0.25">
      <c r="A109" t="s">
        <v>79</v>
      </c>
      <c r="B109" s="4">
        <v>68</v>
      </c>
      <c r="C109" t="str">
        <f>VLOOKUP(B109,'[1]Route types'!A:B,2,FALSE)</f>
        <v>Core Local</v>
      </c>
      <c r="D109" s="4" t="s">
        <v>14</v>
      </c>
      <c r="E109" s="5">
        <v>5940249.8979843743</v>
      </c>
      <c r="F109" s="75">
        <v>382901.27465051989</v>
      </c>
      <c r="G109" s="6">
        <v>398519.9612224499</v>
      </c>
      <c r="H109" s="7">
        <v>27761.660000000036</v>
      </c>
      <c r="I109" s="5">
        <f t="shared" si="4"/>
        <v>5557348.6233338546</v>
      </c>
      <c r="J109" s="5">
        <f t="shared" si="5"/>
        <v>13.944969296611463</v>
      </c>
      <c r="K109" s="76">
        <f t="shared" si="6"/>
        <v>6.4458782244235999E-2</v>
      </c>
      <c r="L109" s="77">
        <f t="shared" si="7"/>
        <v>14.355047977046379</v>
      </c>
    </row>
    <row r="110" spans="1:13" x14ac:dyDescent="0.25">
      <c r="A110" t="s">
        <v>79</v>
      </c>
      <c r="B110" s="4">
        <v>70</v>
      </c>
      <c r="C110" t="str">
        <f>VLOOKUP(B110,'[1]Route types'!A:B,2,FALSE)</f>
        <v>Core Local</v>
      </c>
      <c r="D110" s="4" t="s">
        <v>14</v>
      </c>
      <c r="E110" s="5">
        <v>1249252.5265330321</v>
      </c>
      <c r="F110" s="75">
        <v>91352.118248106926</v>
      </c>
      <c r="G110" s="6">
        <v>56326.111828899477</v>
      </c>
      <c r="H110" s="7">
        <v>5275.3500000000013</v>
      </c>
      <c r="I110" s="5">
        <f t="shared" si="4"/>
        <v>1157900.4082849252</v>
      </c>
      <c r="J110" s="5">
        <f t="shared" si="5"/>
        <v>20.557080378675035</v>
      </c>
      <c r="K110" s="76">
        <f t="shared" si="6"/>
        <v>7.312542204867932E-2</v>
      </c>
      <c r="L110" s="77">
        <f t="shared" si="7"/>
        <v>10.677227450102736</v>
      </c>
      <c r="M110" t="s">
        <v>89</v>
      </c>
    </row>
    <row r="111" spans="1:13" x14ac:dyDescent="0.25">
      <c r="A111" t="s">
        <v>79</v>
      </c>
      <c r="B111" s="4">
        <v>71</v>
      </c>
      <c r="C111" t="str">
        <f>VLOOKUP(B111,'[1]Route types'!A:B,2,FALSE)</f>
        <v>Core Local</v>
      </c>
      <c r="D111" s="4" t="s">
        <v>14</v>
      </c>
      <c r="E111" s="5">
        <v>3353840.3974642726</v>
      </c>
      <c r="F111" s="75">
        <v>149915.19702926395</v>
      </c>
      <c r="G111" s="6">
        <v>146847.07141452539</v>
      </c>
      <c r="H111" s="7">
        <v>13975.289999999954</v>
      </c>
      <c r="I111" s="5">
        <f t="shared" si="4"/>
        <v>3203925.2004350089</v>
      </c>
      <c r="J111" s="5">
        <f t="shared" si="5"/>
        <v>21.818107569819009</v>
      </c>
      <c r="K111" s="76">
        <f t="shared" si="6"/>
        <v>4.4699562072962641E-2</v>
      </c>
      <c r="L111" s="77">
        <f t="shared" si="7"/>
        <v>10.507622483292002</v>
      </c>
    </row>
    <row r="112" spans="1:13" x14ac:dyDescent="0.25">
      <c r="A112" t="s">
        <v>79</v>
      </c>
      <c r="B112" s="4">
        <v>74</v>
      </c>
      <c r="C112" t="str">
        <f>VLOOKUP(B112,'[1]Route types'!A:B,2,FALSE)</f>
        <v>Core Local</v>
      </c>
      <c r="D112" s="4" t="s">
        <v>14</v>
      </c>
      <c r="E112" s="5">
        <v>6794704.8232759675</v>
      </c>
      <c r="F112" s="75">
        <v>554806.30610966834</v>
      </c>
      <c r="G112" s="6">
        <v>463983.25248733844</v>
      </c>
      <c r="H112" s="7">
        <v>31858.030000000028</v>
      </c>
      <c r="I112" s="5">
        <f t="shared" si="4"/>
        <v>6239898.5171662988</v>
      </c>
      <c r="J112" s="5">
        <f t="shared" si="5"/>
        <v>13.448542557765226</v>
      </c>
      <c r="K112" s="76">
        <f t="shared" si="6"/>
        <v>8.165274585720364E-2</v>
      </c>
      <c r="L112" s="77">
        <f t="shared" si="7"/>
        <v>14.564091140831309</v>
      </c>
    </row>
    <row r="113" spans="1:13" x14ac:dyDescent="0.25">
      <c r="A113" t="s">
        <v>79</v>
      </c>
      <c r="B113" s="4">
        <v>75</v>
      </c>
      <c r="C113" t="str">
        <f>VLOOKUP(B113,'[1]Route types'!A:B,2,FALSE)</f>
        <v>Core Local</v>
      </c>
      <c r="D113" s="4" t="s">
        <v>14</v>
      </c>
      <c r="E113" s="5">
        <v>1538499.659453348</v>
      </c>
      <c r="F113" s="75">
        <v>78437.134976673333</v>
      </c>
      <c r="G113" s="6">
        <v>77220.956828357899</v>
      </c>
      <c r="H113" s="7">
        <v>6963.1999999999698</v>
      </c>
      <c r="I113" s="5">
        <f t="shared" si="4"/>
        <v>1460062.5244766746</v>
      </c>
      <c r="J113" s="5">
        <f t="shared" si="5"/>
        <v>18.907594316941886</v>
      </c>
      <c r="K113" s="76">
        <f t="shared" si="6"/>
        <v>5.0982874448307139E-2</v>
      </c>
      <c r="L113" s="77">
        <f t="shared" si="7"/>
        <v>11.089866272454939</v>
      </c>
    </row>
    <row r="114" spans="1:13" x14ac:dyDescent="0.25">
      <c r="A114" t="s">
        <v>79</v>
      </c>
      <c r="B114" s="4">
        <v>824</v>
      </c>
      <c r="C114" t="str">
        <f>VLOOKUP(B114,'[1]Route types'!A:B,2,FALSE)</f>
        <v>Core Local</v>
      </c>
      <c r="D114" s="4" t="s">
        <v>14</v>
      </c>
      <c r="E114" s="5">
        <v>225488.75222821868</v>
      </c>
      <c r="F114" s="75">
        <v>27116.176873531065</v>
      </c>
      <c r="G114" s="6">
        <v>8559.3340961636895</v>
      </c>
      <c r="H114" s="7">
        <v>784.68000000000268</v>
      </c>
      <c r="I114" s="5">
        <f t="shared" si="4"/>
        <v>198372.57535468761</v>
      </c>
      <c r="J114" s="5">
        <f t="shared" si="5"/>
        <v>23.17616921199496</v>
      </c>
      <c r="K114" s="76">
        <f t="shared" si="6"/>
        <v>0.12025511962604059</v>
      </c>
      <c r="L114" s="77">
        <f t="shared" si="7"/>
        <v>10.908056910031682</v>
      </c>
    </row>
    <row r="115" spans="1:13" x14ac:dyDescent="0.25">
      <c r="A115" t="s">
        <v>79</v>
      </c>
      <c r="B115" s="4">
        <v>2</v>
      </c>
      <c r="C115" t="str">
        <f>VLOOKUP(B115,'[1]Route types'!A:B,2,FALSE)</f>
        <v>Core Local</v>
      </c>
      <c r="D115" s="4" t="s">
        <v>17</v>
      </c>
      <c r="E115" s="5">
        <v>1074774.0790853226</v>
      </c>
      <c r="F115" s="75">
        <v>70676.035452191587</v>
      </c>
      <c r="G115" s="6">
        <v>87931.277713393705</v>
      </c>
      <c r="H115" s="7">
        <v>4775.6000000000004</v>
      </c>
      <c r="I115" s="5">
        <f t="shared" si="4"/>
        <v>1004098.043633131</v>
      </c>
      <c r="J115" s="5">
        <f t="shared" si="5"/>
        <v>11.419122634677542</v>
      </c>
      <c r="K115" s="76">
        <f t="shared" si="6"/>
        <v>6.5758969096407521E-2</v>
      </c>
      <c r="L115" s="77">
        <f t="shared" si="7"/>
        <v>18.412613642975479</v>
      </c>
    </row>
    <row r="116" spans="1:13" x14ac:dyDescent="0.25">
      <c r="A116" t="s">
        <v>79</v>
      </c>
      <c r="B116" s="4">
        <v>3</v>
      </c>
      <c r="C116" t="str">
        <f>VLOOKUP(B116,'[1]Route types'!A:B,2,FALSE)</f>
        <v>Core Local</v>
      </c>
      <c r="D116" s="4" t="s">
        <v>17</v>
      </c>
      <c r="E116" s="5">
        <v>1203145.0761082594</v>
      </c>
      <c r="F116" s="75">
        <v>46623.286191516978</v>
      </c>
      <c r="G116" s="6">
        <v>60229.754519815542</v>
      </c>
      <c r="H116" s="7">
        <v>5541.6400000000021</v>
      </c>
      <c r="I116" s="5">
        <f t="shared" si="4"/>
        <v>1156521.7899167424</v>
      </c>
      <c r="J116" s="5">
        <f t="shared" si="5"/>
        <v>19.201834693452845</v>
      </c>
      <c r="K116" s="76">
        <f t="shared" si="6"/>
        <v>3.8751175662312065E-2</v>
      </c>
      <c r="L116" s="77">
        <f t="shared" si="7"/>
        <v>10.868579431326379</v>
      </c>
    </row>
    <row r="117" spans="1:13" x14ac:dyDescent="0.25">
      <c r="A117" t="s">
        <v>79</v>
      </c>
      <c r="B117" s="4">
        <v>4</v>
      </c>
      <c r="C117" t="str">
        <f>VLOOKUP(B117,'[1]Route types'!A:B,2,FALSE)</f>
        <v>Core Local</v>
      </c>
      <c r="D117" s="4" t="s">
        <v>17</v>
      </c>
      <c r="E117" s="5">
        <v>1510905.5572683425</v>
      </c>
      <c r="F117" s="75">
        <v>82005.166299936158</v>
      </c>
      <c r="G117" s="6">
        <v>78893.946553036221</v>
      </c>
      <c r="H117" s="7">
        <v>6955.0600000000049</v>
      </c>
      <c r="I117" s="5">
        <f t="shared" si="4"/>
        <v>1428900.3909684063</v>
      </c>
      <c r="J117" s="5">
        <f t="shared" si="5"/>
        <v>18.111660696398708</v>
      </c>
      <c r="K117" s="76">
        <f t="shared" si="6"/>
        <v>5.4275507761185456E-2</v>
      </c>
      <c r="L117" s="77">
        <f t="shared" si="7"/>
        <v>11.343388346475251</v>
      </c>
      <c r="M117" t="s">
        <v>86</v>
      </c>
    </row>
    <row r="118" spans="1:13" x14ac:dyDescent="0.25">
      <c r="A118" t="s">
        <v>79</v>
      </c>
      <c r="B118" s="4">
        <v>5</v>
      </c>
      <c r="C118" t="str">
        <f>VLOOKUP(B118,'[1]Route types'!A:B,2,FALSE)</f>
        <v>Core Local</v>
      </c>
      <c r="D118" s="4" t="s">
        <v>17</v>
      </c>
      <c r="E118" s="5">
        <v>2252434.458637591</v>
      </c>
      <c r="F118" s="75">
        <v>174679.1511781755</v>
      </c>
      <c r="G118" s="6">
        <v>211934.33832224816</v>
      </c>
      <c r="H118" s="7">
        <v>10659.639999999992</v>
      </c>
      <c r="I118" s="5">
        <f t="shared" si="4"/>
        <v>2077755.3074594154</v>
      </c>
      <c r="J118" s="5">
        <f t="shared" si="5"/>
        <v>9.8037690536970405</v>
      </c>
      <c r="K118" s="76">
        <f t="shared" si="6"/>
        <v>7.755126925372649E-2</v>
      </c>
      <c r="L118" s="77">
        <f t="shared" si="7"/>
        <v>19.881941446638752</v>
      </c>
    </row>
    <row r="119" spans="1:13" x14ac:dyDescent="0.25">
      <c r="A119" t="s">
        <v>79</v>
      </c>
      <c r="B119" s="4">
        <v>6</v>
      </c>
      <c r="C119" t="str">
        <f>VLOOKUP(B119,'[1]Route types'!A:B,2,FALSE)</f>
        <v>Core Local</v>
      </c>
      <c r="D119" s="4" t="s">
        <v>17</v>
      </c>
      <c r="E119" s="5">
        <v>1657582.071254954</v>
      </c>
      <c r="F119" s="75">
        <v>94403.70459105169</v>
      </c>
      <c r="G119" s="6">
        <v>101790.00592791937</v>
      </c>
      <c r="H119" s="7">
        <v>7552.0500000000065</v>
      </c>
      <c r="I119" s="5">
        <f t="shared" si="4"/>
        <v>1563178.3666639023</v>
      </c>
      <c r="J119" s="5">
        <f t="shared" si="5"/>
        <v>15.356894347474908</v>
      </c>
      <c r="K119" s="76">
        <f t="shared" si="6"/>
        <v>5.6952657867238347E-2</v>
      </c>
      <c r="L119" s="77">
        <f t="shared" si="7"/>
        <v>13.478460276073289</v>
      </c>
    </row>
    <row r="120" spans="1:13" x14ac:dyDescent="0.25">
      <c r="A120" t="s">
        <v>79</v>
      </c>
      <c r="B120" s="4">
        <v>7</v>
      </c>
      <c r="C120" t="str">
        <f>VLOOKUP(B120,'[1]Route types'!A:B,2,FALSE)</f>
        <v>Core Local</v>
      </c>
      <c r="D120" s="4" t="s">
        <v>17</v>
      </c>
      <c r="E120" s="5">
        <v>687152.38450271648</v>
      </c>
      <c r="F120" s="75">
        <v>20881.425321279767</v>
      </c>
      <c r="G120" s="6">
        <v>24102.736408047938</v>
      </c>
      <c r="H120" s="7">
        <v>3268.5900000000024</v>
      </c>
      <c r="I120" s="5">
        <f t="shared" si="4"/>
        <v>666270.95918143669</v>
      </c>
      <c r="J120" s="5">
        <f t="shared" si="5"/>
        <v>27.642959201884143</v>
      </c>
      <c r="K120" s="76">
        <f t="shared" si="6"/>
        <v>3.0388347318901311E-2</v>
      </c>
      <c r="L120" s="77">
        <f t="shared" si="7"/>
        <v>7.3740470380341128</v>
      </c>
    </row>
    <row r="121" spans="1:13" x14ac:dyDescent="0.25">
      <c r="A121" t="s">
        <v>79</v>
      </c>
      <c r="B121" s="4">
        <v>9</v>
      </c>
      <c r="C121" t="str">
        <f>VLOOKUP(B121,'[1]Route types'!A:B,2,FALSE)</f>
        <v>Core Local</v>
      </c>
      <c r="D121" s="4" t="s">
        <v>17</v>
      </c>
      <c r="E121" s="5">
        <v>833516.33334181819</v>
      </c>
      <c r="F121" s="75">
        <v>36531.775064756555</v>
      </c>
      <c r="G121" s="6">
        <v>40759.34077165465</v>
      </c>
      <c r="H121" s="7">
        <v>3589.0399999999981</v>
      </c>
      <c r="I121" s="5">
        <f t="shared" si="4"/>
        <v>796984.55827706167</v>
      </c>
      <c r="J121" s="5">
        <f t="shared" si="5"/>
        <v>19.553421208208309</v>
      </c>
      <c r="K121" s="76">
        <f t="shared" si="6"/>
        <v>4.3828505337489498E-2</v>
      </c>
      <c r="L121" s="77">
        <f t="shared" si="7"/>
        <v>11.35661368267132</v>
      </c>
    </row>
    <row r="122" spans="1:13" x14ac:dyDescent="0.25">
      <c r="A122" t="s">
        <v>79</v>
      </c>
      <c r="B122" s="4">
        <v>10</v>
      </c>
      <c r="C122" t="str">
        <f>VLOOKUP(B122,'[1]Route types'!A:B,2,FALSE)</f>
        <v>Core Local</v>
      </c>
      <c r="D122" s="4" t="s">
        <v>17</v>
      </c>
      <c r="E122" s="5">
        <v>1582255.5071714565</v>
      </c>
      <c r="F122" s="75">
        <v>92988.416137741588</v>
      </c>
      <c r="G122" s="6">
        <v>131112.47027696364</v>
      </c>
      <c r="H122" s="7">
        <v>7038.87</v>
      </c>
      <c r="I122" s="5">
        <f t="shared" si="4"/>
        <v>1489267.0910337148</v>
      </c>
      <c r="J122" s="5">
        <f t="shared" si="5"/>
        <v>11.358699045847953</v>
      </c>
      <c r="K122" s="76">
        <f t="shared" si="6"/>
        <v>5.8769532301375126E-2</v>
      </c>
      <c r="L122" s="77">
        <f t="shared" si="7"/>
        <v>18.626920269441491</v>
      </c>
    </row>
    <row r="123" spans="1:13" x14ac:dyDescent="0.25">
      <c r="A123" t="s">
        <v>79</v>
      </c>
      <c r="B123" s="4">
        <v>11</v>
      </c>
      <c r="C123" t="str">
        <f>VLOOKUP(B123,'[1]Route types'!A:B,2,FALSE)</f>
        <v>Core Local</v>
      </c>
      <c r="D123" s="4" t="s">
        <v>17</v>
      </c>
      <c r="E123" s="5">
        <v>1138156.0724270102</v>
      </c>
      <c r="F123" s="75">
        <v>55821.584658949716</v>
      </c>
      <c r="G123" s="6">
        <v>68853.883773569949</v>
      </c>
      <c r="H123" s="7">
        <v>5213.2999999999965</v>
      </c>
      <c r="I123" s="5">
        <f t="shared" si="4"/>
        <v>1082334.4877680605</v>
      </c>
      <c r="J123" s="5">
        <f t="shared" si="5"/>
        <v>15.719294663571647</v>
      </c>
      <c r="K123" s="76">
        <f t="shared" si="6"/>
        <v>4.9045632678403644E-2</v>
      </c>
      <c r="L123" s="77">
        <f t="shared" si="7"/>
        <v>13.207351154464542</v>
      </c>
    </row>
    <row r="124" spans="1:13" x14ac:dyDescent="0.25">
      <c r="A124" t="s">
        <v>79</v>
      </c>
      <c r="B124" s="4">
        <v>14</v>
      </c>
      <c r="C124" t="str">
        <f>VLOOKUP(B124,'[1]Route types'!A:B,2,FALSE)</f>
        <v>Core Local</v>
      </c>
      <c r="D124" s="4" t="s">
        <v>17</v>
      </c>
      <c r="E124" s="5">
        <v>1147510.1163179791</v>
      </c>
      <c r="F124" s="75">
        <v>68484.920243238201</v>
      </c>
      <c r="G124" s="6">
        <v>79316.708400923177</v>
      </c>
      <c r="H124" s="7">
        <v>5364.91</v>
      </c>
      <c r="I124" s="5">
        <f t="shared" si="4"/>
        <v>1079025.196074741</v>
      </c>
      <c r="J124" s="5">
        <f t="shared" si="5"/>
        <v>13.604008762196466</v>
      </c>
      <c r="K124" s="76">
        <f t="shared" si="6"/>
        <v>5.968132155818031E-2</v>
      </c>
      <c r="L124" s="77">
        <f t="shared" si="7"/>
        <v>14.784350231583229</v>
      </c>
    </row>
    <row r="125" spans="1:13" x14ac:dyDescent="0.25">
      <c r="A125" t="s">
        <v>79</v>
      </c>
      <c r="B125" s="4">
        <v>17</v>
      </c>
      <c r="C125" t="str">
        <f>VLOOKUP(B125,'[1]Route types'!A:B,2,FALSE)</f>
        <v>Core Local</v>
      </c>
      <c r="D125" s="4" t="s">
        <v>17</v>
      </c>
      <c r="E125" s="5">
        <v>1042478.4079537167</v>
      </c>
      <c r="F125" s="75">
        <v>73396.264972207762</v>
      </c>
      <c r="G125" s="6">
        <v>83139.622698775391</v>
      </c>
      <c r="H125" s="7">
        <v>4743</v>
      </c>
      <c r="I125" s="5">
        <f t="shared" si="4"/>
        <v>969082.14298150898</v>
      </c>
      <c r="J125" s="5">
        <f t="shared" si="5"/>
        <v>11.65608059700496</v>
      </c>
      <c r="K125" s="76">
        <f t="shared" si="6"/>
        <v>7.0405549325743319E-2</v>
      </c>
      <c r="L125" s="77">
        <f t="shared" si="7"/>
        <v>17.528910541592957</v>
      </c>
    </row>
    <row r="126" spans="1:13" x14ac:dyDescent="0.25">
      <c r="A126" t="s">
        <v>79</v>
      </c>
      <c r="B126" s="4">
        <v>18</v>
      </c>
      <c r="C126" t="str">
        <f>VLOOKUP(B126,'[1]Route types'!A:B,2,FALSE)</f>
        <v>Core Local</v>
      </c>
      <c r="D126" s="4" t="s">
        <v>17</v>
      </c>
      <c r="E126" s="5">
        <v>2022083.7637221662</v>
      </c>
      <c r="F126" s="75">
        <v>139772.92577344133</v>
      </c>
      <c r="G126" s="6">
        <v>197435.0940417028</v>
      </c>
      <c r="H126" s="7">
        <v>9270.4900000000016</v>
      </c>
      <c r="I126" s="5">
        <f t="shared" si="4"/>
        <v>1882310.8379487249</v>
      </c>
      <c r="J126" s="5">
        <f t="shared" si="5"/>
        <v>9.5338209606805666</v>
      </c>
      <c r="K126" s="76">
        <f t="shared" si="6"/>
        <v>6.9123212539995496E-2</v>
      </c>
      <c r="L126" s="77">
        <f t="shared" si="7"/>
        <v>21.297158407128723</v>
      </c>
      <c r="M126" t="s">
        <v>86</v>
      </c>
    </row>
    <row r="127" spans="1:13" x14ac:dyDescent="0.25">
      <c r="A127" t="s">
        <v>79</v>
      </c>
      <c r="B127" s="4">
        <v>19</v>
      </c>
      <c r="C127" t="str">
        <f>VLOOKUP(B127,'[1]Route types'!A:B,2,FALSE)</f>
        <v>Core Local</v>
      </c>
      <c r="D127" s="4" t="s">
        <v>17</v>
      </c>
      <c r="E127" s="5">
        <v>450054.53721457283</v>
      </c>
      <c r="F127" s="75">
        <v>15526.935556928231</v>
      </c>
      <c r="G127" s="6">
        <v>18106.52879166124</v>
      </c>
      <c r="H127" s="7">
        <v>1790.1000000000013</v>
      </c>
      <c r="I127" s="5">
        <f t="shared" si="4"/>
        <v>434527.60165764461</v>
      </c>
      <c r="J127" s="5">
        <f t="shared" si="5"/>
        <v>23.99839343352004</v>
      </c>
      <c r="K127" s="76">
        <f t="shared" si="6"/>
        <v>3.4500120036620008E-2</v>
      </c>
      <c r="L127" s="77">
        <f t="shared" si="7"/>
        <v>10.114814139802931</v>
      </c>
    </row>
    <row r="128" spans="1:13" x14ac:dyDescent="0.25">
      <c r="A128" t="s">
        <v>79</v>
      </c>
      <c r="B128" s="4">
        <v>21</v>
      </c>
      <c r="C128" t="str">
        <f>VLOOKUP(B128,'[1]Route types'!A:B,2,FALSE)</f>
        <v>Core Local</v>
      </c>
      <c r="D128" s="4" t="s">
        <v>17</v>
      </c>
      <c r="E128" s="5">
        <v>2214497.8866501106</v>
      </c>
      <c r="F128" s="75">
        <v>138119.50358578051</v>
      </c>
      <c r="G128" s="6">
        <v>200340.25397630292</v>
      </c>
      <c r="H128" s="7">
        <v>10221.240000000007</v>
      </c>
      <c r="I128" s="5">
        <f t="shared" si="4"/>
        <v>2076378.3830643301</v>
      </c>
      <c r="J128" s="5">
        <f t="shared" si="5"/>
        <v>10.364259512768376</v>
      </c>
      <c r="K128" s="76">
        <f t="shared" si="6"/>
        <v>6.2370573671991635E-2</v>
      </c>
      <c r="L128" s="77">
        <f t="shared" si="7"/>
        <v>19.600386447857872</v>
      </c>
    </row>
    <row r="129" spans="1:12" x14ac:dyDescent="0.25">
      <c r="A129" t="s">
        <v>79</v>
      </c>
      <c r="B129" s="4">
        <v>22</v>
      </c>
      <c r="C129" t="str">
        <f>VLOOKUP(B129,'[1]Route types'!A:B,2,FALSE)</f>
        <v>Core Local</v>
      </c>
      <c r="D129" s="4" t="s">
        <v>17</v>
      </c>
      <c r="E129" s="5">
        <v>1309021.2013108234</v>
      </c>
      <c r="F129" s="75">
        <v>70629.167209044434</v>
      </c>
      <c r="G129" s="6">
        <v>81678.013898040561</v>
      </c>
      <c r="H129" s="7">
        <v>6187.9800000000014</v>
      </c>
      <c r="I129" s="5">
        <f t="shared" si="4"/>
        <v>1238392.0341017791</v>
      </c>
      <c r="J129" s="5">
        <f t="shared" si="5"/>
        <v>15.161877413518841</v>
      </c>
      <c r="K129" s="76">
        <f t="shared" si="6"/>
        <v>5.3955709149949613E-2</v>
      </c>
      <c r="L129" s="77">
        <f t="shared" si="7"/>
        <v>13.199463136280425</v>
      </c>
    </row>
    <row r="130" spans="1:12" x14ac:dyDescent="0.25">
      <c r="A130" t="s">
        <v>79</v>
      </c>
      <c r="B130" s="4">
        <v>25</v>
      </c>
      <c r="C130" t="str">
        <f>VLOOKUP(B130,'[1]Route types'!A:B,2,FALSE)</f>
        <v>Core Local</v>
      </c>
      <c r="D130" s="4" t="s">
        <v>17</v>
      </c>
      <c r="E130" s="5">
        <v>183452.83105479411</v>
      </c>
      <c r="F130" s="75">
        <v>4636.2960426842164</v>
      </c>
      <c r="G130" s="6">
        <v>4403.9462847722343</v>
      </c>
      <c r="H130" s="7">
        <v>857.6699999999995</v>
      </c>
      <c r="I130" s="5">
        <f t="shared" ref="I130:I193" si="8">E130-F130</f>
        <v>178816.5350121099</v>
      </c>
      <c r="J130" s="5">
        <f t="shared" ref="J130:J193" si="9">I130/G130</f>
        <v>40.60370482501424</v>
      </c>
      <c r="K130" s="76">
        <f t="shared" ref="K130:K193" si="10">F130/E130</f>
        <v>2.5272414800180637E-2</v>
      </c>
      <c r="L130" s="77">
        <f t="shared" ref="L130:L193" si="11">G130/H130</f>
        <v>5.1347794428769067</v>
      </c>
    </row>
    <row r="131" spans="1:12" x14ac:dyDescent="0.25">
      <c r="A131" t="s">
        <v>79</v>
      </c>
      <c r="B131" s="4">
        <v>54</v>
      </c>
      <c r="C131" t="str">
        <f>VLOOKUP(B131,'[1]Route types'!A:B,2,FALSE)</f>
        <v>Core Local</v>
      </c>
      <c r="D131" s="4" t="s">
        <v>17</v>
      </c>
      <c r="E131" s="5">
        <v>1285186.0632296565</v>
      </c>
      <c r="F131" s="75">
        <v>96467.149380774936</v>
      </c>
      <c r="G131" s="6">
        <v>107957.23027171762</v>
      </c>
      <c r="H131" s="7">
        <v>5948.5399999999991</v>
      </c>
      <c r="I131" s="5">
        <f t="shared" si="8"/>
        <v>1188718.9138488816</v>
      </c>
      <c r="J131" s="5">
        <f t="shared" si="9"/>
        <v>11.011017148707818</v>
      </c>
      <c r="K131" s="76">
        <f t="shared" si="10"/>
        <v>7.5060843048946696E-2</v>
      </c>
      <c r="L131" s="77">
        <f t="shared" si="11"/>
        <v>18.148525566225938</v>
      </c>
    </row>
    <row r="132" spans="1:12" x14ac:dyDescent="0.25">
      <c r="A132" t="s">
        <v>79</v>
      </c>
      <c r="B132" s="4">
        <v>61</v>
      </c>
      <c r="C132" t="str">
        <f>VLOOKUP(B132,'[1]Route types'!A:B,2,FALSE)</f>
        <v>Core Local</v>
      </c>
      <c r="D132" s="4" t="s">
        <v>17</v>
      </c>
      <c r="E132" s="5">
        <v>337054.87228888308</v>
      </c>
      <c r="F132" s="75">
        <v>16890.321157226626</v>
      </c>
      <c r="G132" s="6">
        <v>17708.197904833072</v>
      </c>
      <c r="H132" s="7">
        <v>1548.3699999999997</v>
      </c>
      <c r="I132" s="5">
        <f t="shared" si="8"/>
        <v>320164.55113165645</v>
      </c>
      <c r="J132" s="5">
        <f t="shared" si="9"/>
        <v>18.080018805542849</v>
      </c>
      <c r="K132" s="76">
        <f t="shared" si="10"/>
        <v>5.0111487908563047E-2</v>
      </c>
      <c r="L132" s="77">
        <f t="shared" si="11"/>
        <v>11.436670760111005</v>
      </c>
    </row>
    <row r="133" spans="1:12" x14ac:dyDescent="0.25">
      <c r="A133" t="s">
        <v>79</v>
      </c>
      <c r="B133" s="4">
        <v>62</v>
      </c>
      <c r="C133" t="str">
        <f>VLOOKUP(B133,'[1]Route types'!A:B,2,FALSE)</f>
        <v>Core Local</v>
      </c>
      <c r="D133" s="4" t="s">
        <v>17</v>
      </c>
      <c r="E133" s="5">
        <v>639891.22502560727</v>
      </c>
      <c r="F133" s="75">
        <v>35229.152568382822</v>
      </c>
      <c r="G133" s="6">
        <v>44767.080600995127</v>
      </c>
      <c r="H133" s="7">
        <v>2833.7099999999973</v>
      </c>
      <c r="I133" s="5">
        <f t="shared" si="8"/>
        <v>604662.07245722448</v>
      </c>
      <c r="J133" s="5">
        <f t="shared" si="9"/>
        <v>13.506846199030084</v>
      </c>
      <c r="K133" s="76">
        <f t="shared" si="10"/>
        <v>5.5054908069684841E-2</v>
      </c>
      <c r="L133" s="77">
        <f t="shared" si="11"/>
        <v>15.798045883663173</v>
      </c>
    </row>
    <row r="134" spans="1:12" x14ac:dyDescent="0.25">
      <c r="A134" t="s">
        <v>79</v>
      </c>
      <c r="B134" s="4">
        <v>63</v>
      </c>
      <c r="C134" t="str">
        <f>VLOOKUP(B134,'[1]Route types'!A:B,2,FALSE)</f>
        <v>Core Local</v>
      </c>
      <c r="D134" s="4" t="s">
        <v>17</v>
      </c>
      <c r="E134" s="5">
        <v>1137467.1199290918</v>
      </c>
      <c r="F134" s="75">
        <v>63803.875793139297</v>
      </c>
      <c r="G134" s="6">
        <v>74590.910759593782</v>
      </c>
      <c r="H134" s="7">
        <v>5356.2000000000035</v>
      </c>
      <c r="I134" s="5">
        <f t="shared" si="8"/>
        <v>1073663.2441359526</v>
      </c>
      <c r="J134" s="5">
        <f t="shared" si="9"/>
        <v>14.394022451292559</v>
      </c>
      <c r="K134" s="76">
        <f t="shared" si="10"/>
        <v>5.6092940776272061E-2</v>
      </c>
      <c r="L134" s="77">
        <f t="shared" si="11"/>
        <v>13.926087666553476</v>
      </c>
    </row>
    <row r="135" spans="1:12" x14ac:dyDescent="0.25">
      <c r="A135" t="s">
        <v>79</v>
      </c>
      <c r="B135" s="4">
        <v>64</v>
      </c>
      <c r="C135" t="str">
        <f>VLOOKUP(B135,'[1]Route types'!A:B,2,FALSE)</f>
        <v>Core Local</v>
      </c>
      <c r="D135" s="4" t="s">
        <v>17</v>
      </c>
      <c r="E135" s="5">
        <v>1105004.5291899159</v>
      </c>
      <c r="F135" s="75">
        <v>50666.409137098439</v>
      </c>
      <c r="G135" s="6">
        <v>75911.244872466879</v>
      </c>
      <c r="H135" s="7">
        <v>5040.9000000000042</v>
      </c>
      <c r="I135" s="5">
        <f t="shared" si="8"/>
        <v>1054338.1200528175</v>
      </c>
      <c r="J135" s="5">
        <f t="shared" si="9"/>
        <v>13.889090105479584</v>
      </c>
      <c r="K135" s="76">
        <f t="shared" si="10"/>
        <v>4.5851766032345795E-2</v>
      </c>
      <c r="L135" s="77">
        <f t="shared" si="11"/>
        <v>15.059065816117522</v>
      </c>
    </row>
    <row r="136" spans="1:12" x14ac:dyDescent="0.25">
      <c r="A136" t="s">
        <v>79</v>
      </c>
      <c r="B136" s="4">
        <v>68</v>
      </c>
      <c r="C136" t="str">
        <f>VLOOKUP(B136,'[1]Route types'!A:B,2,FALSE)</f>
        <v>Core Local</v>
      </c>
      <c r="D136" s="4" t="s">
        <v>17</v>
      </c>
      <c r="E136" s="5">
        <v>989098.49933239177</v>
      </c>
      <c r="F136" s="75">
        <v>46696.586136453094</v>
      </c>
      <c r="G136" s="6">
        <v>63393.0328690803</v>
      </c>
      <c r="H136" s="7">
        <v>4720.66</v>
      </c>
      <c r="I136" s="5">
        <f t="shared" si="8"/>
        <v>942401.91319593869</v>
      </c>
      <c r="J136" s="5">
        <f t="shared" si="9"/>
        <v>14.866017140120006</v>
      </c>
      <c r="K136" s="76">
        <f t="shared" si="10"/>
        <v>4.7211259715763114E-2</v>
      </c>
      <c r="L136" s="77">
        <f t="shared" si="11"/>
        <v>13.428849539911855</v>
      </c>
    </row>
    <row r="137" spans="1:12" x14ac:dyDescent="0.25">
      <c r="A137" t="s">
        <v>79</v>
      </c>
      <c r="B137" s="4">
        <v>70</v>
      </c>
      <c r="C137" t="str">
        <f>VLOOKUP(B137,'[1]Route types'!A:B,2,FALSE)</f>
        <v>Core Local</v>
      </c>
      <c r="D137" s="4" t="s">
        <v>17</v>
      </c>
      <c r="E137" s="5">
        <v>90110.404620761125</v>
      </c>
      <c r="F137" s="75">
        <v>3005.2646199473784</v>
      </c>
      <c r="G137" s="6">
        <v>3898.3316124250118</v>
      </c>
      <c r="H137" s="7">
        <v>403.45999999999964</v>
      </c>
      <c r="I137" s="5">
        <f t="shared" si="8"/>
        <v>87105.140000813743</v>
      </c>
      <c r="J137" s="5">
        <f t="shared" si="9"/>
        <v>22.344209949504211</v>
      </c>
      <c r="K137" s="76">
        <f t="shared" si="10"/>
        <v>3.335091694011743E-2</v>
      </c>
      <c r="L137" s="77">
        <f t="shared" si="11"/>
        <v>9.6622505636866496</v>
      </c>
    </row>
    <row r="138" spans="1:12" x14ac:dyDescent="0.25">
      <c r="A138" t="s">
        <v>79</v>
      </c>
      <c r="B138" s="4">
        <v>71</v>
      </c>
      <c r="C138" t="str">
        <f>VLOOKUP(B138,'[1]Route types'!A:B,2,FALSE)</f>
        <v>Core Local</v>
      </c>
      <c r="D138" s="4" t="s">
        <v>17</v>
      </c>
      <c r="E138" s="5">
        <v>488599.87482966506</v>
      </c>
      <c r="F138" s="75">
        <v>11384.180331921636</v>
      </c>
      <c r="G138" s="6">
        <v>17765.557552536327</v>
      </c>
      <c r="H138" s="7">
        <v>1973.1900000000019</v>
      </c>
      <c r="I138" s="5">
        <f t="shared" si="8"/>
        <v>477215.69449774345</v>
      </c>
      <c r="J138" s="5">
        <f t="shared" si="9"/>
        <v>26.861847318133453</v>
      </c>
      <c r="K138" s="76">
        <f t="shared" si="10"/>
        <v>2.3299597315472854E-2</v>
      </c>
      <c r="L138" s="77">
        <f t="shared" si="11"/>
        <v>9.00347029558041</v>
      </c>
    </row>
    <row r="139" spans="1:12" x14ac:dyDescent="0.25">
      <c r="A139" t="s">
        <v>79</v>
      </c>
      <c r="B139" s="4">
        <v>74</v>
      </c>
      <c r="C139" t="str">
        <f>VLOOKUP(B139,'[1]Route types'!A:B,2,FALSE)</f>
        <v>Core Local</v>
      </c>
      <c r="D139" s="4" t="s">
        <v>17</v>
      </c>
      <c r="E139" s="5">
        <v>1076075.070144336</v>
      </c>
      <c r="F139" s="75">
        <v>52814.498305169756</v>
      </c>
      <c r="G139" s="6">
        <v>63722.319735524921</v>
      </c>
      <c r="H139" s="7">
        <v>5171.9399999999987</v>
      </c>
      <c r="I139" s="5">
        <f t="shared" si="8"/>
        <v>1023260.5718391662</v>
      </c>
      <c r="J139" s="5">
        <f t="shared" si="9"/>
        <v>16.058118663698032</v>
      </c>
      <c r="K139" s="76">
        <f t="shared" si="10"/>
        <v>4.9080681980752189E-2</v>
      </c>
      <c r="L139" s="77">
        <f t="shared" si="11"/>
        <v>12.320777065380677</v>
      </c>
    </row>
    <row r="140" spans="1:12" x14ac:dyDescent="0.25">
      <c r="A140" t="s">
        <v>79</v>
      </c>
      <c r="B140" s="4">
        <v>2</v>
      </c>
      <c r="C140" t="str">
        <f>VLOOKUP(B140,'[1]Route types'!A:B,2,FALSE)</f>
        <v>Core Local</v>
      </c>
      <c r="D140" s="4" t="s">
        <v>18</v>
      </c>
      <c r="E140" s="5">
        <v>973920.27031057153</v>
      </c>
      <c r="F140" s="75">
        <v>63494.263847684997</v>
      </c>
      <c r="G140" s="6">
        <v>75338.710611132527</v>
      </c>
      <c r="H140" s="7">
        <v>4292.5599999999977</v>
      </c>
      <c r="I140" s="5">
        <f t="shared" si="8"/>
        <v>910426.00646288658</v>
      </c>
      <c r="J140" s="5">
        <f t="shared" si="9"/>
        <v>12.084438386026164</v>
      </c>
      <c r="K140" s="76">
        <f t="shared" si="10"/>
        <v>6.5194519287946881E-2</v>
      </c>
      <c r="L140" s="77">
        <f t="shared" si="11"/>
        <v>17.550997682299737</v>
      </c>
    </row>
    <row r="141" spans="1:12" x14ac:dyDescent="0.25">
      <c r="A141" t="s">
        <v>79</v>
      </c>
      <c r="B141" s="4">
        <v>3</v>
      </c>
      <c r="C141" t="str">
        <f>VLOOKUP(B141,'[1]Route types'!A:B,2,FALSE)</f>
        <v>Core Local</v>
      </c>
      <c r="D141" s="4" t="s">
        <v>18</v>
      </c>
      <c r="E141" s="5">
        <v>843829.34674295166</v>
      </c>
      <c r="F141" s="75">
        <v>37054.430501322044</v>
      </c>
      <c r="G141" s="6">
        <v>44578.006206714024</v>
      </c>
      <c r="H141" s="7">
        <v>3884.3200000000052</v>
      </c>
      <c r="I141" s="5">
        <f t="shared" si="8"/>
        <v>806774.91624162963</v>
      </c>
      <c r="J141" s="5">
        <f t="shared" si="9"/>
        <v>18.098048452425378</v>
      </c>
      <c r="K141" s="76">
        <f t="shared" si="10"/>
        <v>4.3912232543637297E-2</v>
      </c>
      <c r="L141" s="77">
        <f t="shared" si="11"/>
        <v>11.476399011078893</v>
      </c>
    </row>
    <row r="142" spans="1:12" x14ac:dyDescent="0.25">
      <c r="A142" t="s">
        <v>79</v>
      </c>
      <c r="B142" s="4">
        <v>4</v>
      </c>
      <c r="C142" t="str">
        <f>VLOOKUP(B142,'[1]Route types'!A:B,2,FALSE)</f>
        <v>Core Local</v>
      </c>
      <c r="D142" s="4" t="s">
        <v>18</v>
      </c>
      <c r="E142" s="5">
        <v>1144867.2225314295</v>
      </c>
      <c r="F142" s="75">
        <v>62104.893698447442</v>
      </c>
      <c r="G142" s="6">
        <v>59702.895533504146</v>
      </c>
      <c r="H142" s="7">
        <v>5346.590000000002</v>
      </c>
      <c r="I142" s="5">
        <f t="shared" si="8"/>
        <v>1082762.3288329821</v>
      </c>
      <c r="J142" s="5">
        <f t="shared" si="9"/>
        <v>18.135842812269569</v>
      </c>
      <c r="K142" s="76">
        <f t="shared" si="10"/>
        <v>5.4246372396902567E-2</v>
      </c>
      <c r="L142" s="77">
        <f t="shared" si="11"/>
        <v>11.166537088780723</v>
      </c>
    </row>
    <row r="143" spans="1:12" x14ac:dyDescent="0.25">
      <c r="A143" t="s">
        <v>79</v>
      </c>
      <c r="B143" s="4">
        <v>5</v>
      </c>
      <c r="C143" t="str">
        <f>VLOOKUP(B143,'[1]Route types'!A:B,2,FALSE)</f>
        <v>Core Local</v>
      </c>
      <c r="D143" s="4" t="s">
        <v>18</v>
      </c>
      <c r="E143" s="5">
        <v>1989069.6836913063</v>
      </c>
      <c r="F143" s="75">
        <v>148137.23449232173</v>
      </c>
      <c r="G143" s="6">
        <v>178733.72445904484</v>
      </c>
      <c r="H143" s="7">
        <v>9285.1599999999944</v>
      </c>
      <c r="I143" s="5">
        <f t="shared" si="8"/>
        <v>1840932.4491989845</v>
      </c>
      <c r="J143" s="5">
        <f t="shared" si="9"/>
        <v>10.299860615397275</v>
      </c>
      <c r="K143" s="76">
        <f t="shared" si="10"/>
        <v>7.447563838860051E-2</v>
      </c>
      <c r="L143" s="77">
        <f t="shared" si="11"/>
        <v>19.249396290321862</v>
      </c>
    </row>
    <row r="144" spans="1:12" x14ac:dyDescent="0.25">
      <c r="A144" t="s">
        <v>79</v>
      </c>
      <c r="B144" s="4">
        <v>6</v>
      </c>
      <c r="C144" t="str">
        <f>VLOOKUP(B144,'[1]Route types'!A:B,2,FALSE)</f>
        <v>Core Local</v>
      </c>
      <c r="D144" s="4" t="s">
        <v>18</v>
      </c>
      <c r="E144" s="5">
        <v>1666068.7877732483</v>
      </c>
      <c r="F144" s="75">
        <v>84678.212913688665</v>
      </c>
      <c r="G144" s="6">
        <v>90211.854817447253</v>
      </c>
      <c r="H144" s="7">
        <v>7472.8799999999956</v>
      </c>
      <c r="I144" s="5">
        <f t="shared" si="8"/>
        <v>1581390.5748595595</v>
      </c>
      <c r="J144" s="5">
        <f t="shared" si="9"/>
        <v>17.529742383189685</v>
      </c>
      <c r="K144" s="76">
        <f t="shared" si="10"/>
        <v>5.0825160122508317E-2</v>
      </c>
      <c r="L144" s="77">
        <f t="shared" si="11"/>
        <v>12.071899296850384</v>
      </c>
    </row>
    <row r="145" spans="1:12" x14ac:dyDescent="0.25">
      <c r="A145" t="s">
        <v>79</v>
      </c>
      <c r="B145" s="4">
        <v>7</v>
      </c>
      <c r="C145" t="str">
        <f>VLOOKUP(B145,'[1]Route types'!A:B,2,FALSE)</f>
        <v>Core Local</v>
      </c>
      <c r="D145" s="4" t="s">
        <v>18</v>
      </c>
      <c r="E145" s="5">
        <v>700378.30870264745</v>
      </c>
      <c r="F145" s="75">
        <v>18671.314396817626</v>
      </c>
      <c r="G145" s="6">
        <v>20115.178676973417</v>
      </c>
      <c r="H145" s="7">
        <v>3363.4699999999957</v>
      </c>
      <c r="I145" s="5">
        <f t="shared" si="8"/>
        <v>681706.99430582987</v>
      </c>
      <c r="J145" s="5">
        <f t="shared" si="9"/>
        <v>33.890178419653061</v>
      </c>
      <c r="K145" s="76">
        <f t="shared" si="10"/>
        <v>2.6658898719184518E-2</v>
      </c>
      <c r="L145" s="77">
        <f t="shared" si="11"/>
        <v>5.9804840468246905</v>
      </c>
    </row>
    <row r="146" spans="1:12" x14ac:dyDescent="0.25">
      <c r="A146" t="s">
        <v>79</v>
      </c>
      <c r="B146" s="4">
        <v>9</v>
      </c>
      <c r="C146" t="str">
        <f>VLOOKUP(B146,'[1]Route types'!A:B,2,FALSE)</f>
        <v>Core Local</v>
      </c>
      <c r="D146" s="4" t="s">
        <v>18</v>
      </c>
      <c r="E146" s="5">
        <v>792100.63306319213</v>
      </c>
      <c r="F146" s="75">
        <v>32506.886018717498</v>
      </c>
      <c r="G146" s="6">
        <v>35109.415472883898</v>
      </c>
      <c r="H146" s="7">
        <v>3624.4499999999957</v>
      </c>
      <c r="I146" s="5">
        <f t="shared" si="8"/>
        <v>759593.74704447458</v>
      </c>
      <c r="J146" s="5">
        <f t="shared" si="9"/>
        <v>21.635043956545864</v>
      </c>
      <c r="K146" s="76">
        <f t="shared" si="10"/>
        <v>4.1038833529279818E-2</v>
      </c>
      <c r="L146" s="77">
        <f t="shared" si="11"/>
        <v>9.68682571780103</v>
      </c>
    </row>
    <row r="147" spans="1:12" x14ac:dyDescent="0.25">
      <c r="A147" t="s">
        <v>79</v>
      </c>
      <c r="B147" s="4">
        <v>10</v>
      </c>
      <c r="C147" t="str">
        <f>VLOOKUP(B147,'[1]Route types'!A:B,2,FALSE)</f>
        <v>Core Local</v>
      </c>
      <c r="D147" s="4" t="s">
        <v>18</v>
      </c>
      <c r="E147" s="5">
        <v>1171409.0766020396</v>
      </c>
      <c r="F147" s="75">
        <v>73960.174399472715</v>
      </c>
      <c r="G147" s="6">
        <v>102611.0986626345</v>
      </c>
      <c r="H147" s="7">
        <v>4928.3099999999977</v>
      </c>
      <c r="I147" s="5">
        <f t="shared" si="8"/>
        <v>1097448.9022025669</v>
      </c>
      <c r="J147" s="5">
        <f t="shared" si="9"/>
        <v>10.695226115946456</v>
      </c>
      <c r="K147" s="76">
        <f t="shared" si="10"/>
        <v>6.3137784977740141E-2</v>
      </c>
      <c r="L147" s="77">
        <f t="shared" si="11"/>
        <v>20.820747611784679</v>
      </c>
    </row>
    <row r="148" spans="1:12" x14ac:dyDescent="0.25">
      <c r="A148" t="s">
        <v>79</v>
      </c>
      <c r="B148" s="4">
        <v>11</v>
      </c>
      <c r="C148" t="str">
        <f>VLOOKUP(B148,'[1]Route types'!A:B,2,FALSE)</f>
        <v>Core Local</v>
      </c>
      <c r="D148" s="4" t="s">
        <v>18</v>
      </c>
      <c r="E148" s="5">
        <v>790861.82774033363</v>
      </c>
      <c r="F148" s="75">
        <v>42809.966688306413</v>
      </c>
      <c r="G148" s="6">
        <v>48949.023804841796</v>
      </c>
      <c r="H148" s="7">
        <v>3532.1500000000024</v>
      </c>
      <c r="I148" s="5">
        <f t="shared" si="8"/>
        <v>748051.86105202721</v>
      </c>
      <c r="J148" s="5">
        <f t="shared" si="9"/>
        <v>15.282263115899639</v>
      </c>
      <c r="K148" s="76">
        <f t="shared" si="10"/>
        <v>5.413077883733991E-2</v>
      </c>
      <c r="L148" s="77">
        <f t="shared" si="11"/>
        <v>13.85813847227376</v>
      </c>
    </row>
    <row r="149" spans="1:12" x14ac:dyDescent="0.25">
      <c r="A149" t="s">
        <v>79</v>
      </c>
      <c r="B149" s="4">
        <v>14</v>
      </c>
      <c r="C149" t="str">
        <f>VLOOKUP(B149,'[1]Route types'!A:B,2,FALSE)</f>
        <v>Core Local</v>
      </c>
      <c r="D149" s="4" t="s">
        <v>18</v>
      </c>
      <c r="E149" s="5">
        <v>1123751.8921736332</v>
      </c>
      <c r="F149" s="75">
        <v>58750.369580362312</v>
      </c>
      <c r="G149" s="6">
        <v>64492.426116726048</v>
      </c>
      <c r="H149" s="7">
        <v>5044.78</v>
      </c>
      <c r="I149" s="5">
        <f t="shared" si="8"/>
        <v>1065001.522593271</v>
      </c>
      <c r="J149" s="5">
        <f t="shared" si="9"/>
        <v>16.513590613969225</v>
      </c>
      <c r="K149" s="76">
        <f t="shared" si="10"/>
        <v>5.228055230832454E-2</v>
      </c>
      <c r="L149" s="77">
        <f t="shared" si="11"/>
        <v>12.783991792848459</v>
      </c>
    </row>
    <row r="150" spans="1:12" x14ac:dyDescent="0.25">
      <c r="A150" t="s">
        <v>79</v>
      </c>
      <c r="B150" s="4">
        <v>17</v>
      </c>
      <c r="C150" t="str">
        <f>VLOOKUP(B150,'[1]Route types'!A:B,2,FALSE)</f>
        <v>Core Local</v>
      </c>
      <c r="D150" s="4" t="s">
        <v>18</v>
      </c>
      <c r="E150" s="5">
        <v>866301.30802895152</v>
      </c>
      <c r="F150" s="75">
        <v>59197.688042342532</v>
      </c>
      <c r="G150" s="6">
        <v>65333.700949707141</v>
      </c>
      <c r="H150" s="7">
        <v>3986.009999999997</v>
      </c>
      <c r="I150" s="5">
        <f t="shared" si="8"/>
        <v>807103.61998660897</v>
      </c>
      <c r="J150" s="5">
        <f t="shared" si="9"/>
        <v>12.353557325765223</v>
      </c>
      <c r="K150" s="76">
        <f t="shared" si="10"/>
        <v>6.8333831997820518E-2</v>
      </c>
      <c r="L150" s="77">
        <f t="shared" si="11"/>
        <v>16.390751892169661</v>
      </c>
    </row>
    <row r="151" spans="1:12" x14ac:dyDescent="0.25">
      <c r="A151" t="s">
        <v>79</v>
      </c>
      <c r="B151" s="4">
        <v>18</v>
      </c>
      <c r="C151" t="str">
        <f>VLOOKUP(B151,'[1]Route types'!A:B,2,FALSE)</f>
        <v>Core Local</v>
      </c>
      <c r="D151" s="4" t="s">
        <v>18</v>
      </c>
      <c r="E151" s="5">
        <v>1743547.3056210231</v>
      </c>
      <c r="F151" s="75">
        <v>128089.43457282784</v>
      </c>
      <c r="G151" s="6">
        <v>175556.63730570339</v>
      </c>
      <c r="H151" s="7">
        <v>7808.8700000000081</v>
      </c>
      <c r="I151" s="5">
        <f t="shared" si="8"/>
        <v>1615457.8710481953</v>
      </c>
      <c r="J151" s="5">
        <f t="shared" si="9"/>
        <v>9.2019185138249</v>
      </c>
      <c r="K151" s="76">
        <f t="shared" si="10"/>
        <v>7.346484615581135E-2</v>
      </c>
      <c r="L151" s="77">
        <f t="shared" si="11"/>
        <v>22.481695470113245</v>
      </c>
    </row>
    <row r="152" spans="1:12" x14ac:dyDescent="0.25">
      <c r="A152" t="s">
        <v>79</v>
      </c>
      <c r="B152" s="4">
        <v>19</v>
      </c>
      <c r="C152" t="str">
        <f>VLOOKUP(B152,'[1]Route types'!A:B,2,FALSE)</f>
        <v>Core Local</v>
      </c>
      <c r="D152" s="4" t="s">
        <v>18</v>
      </c>
      <c r="E152" s="5">
        <v>471768.81439953716</v>
      </c>
      <c r="F152" s="75">
        <v>13081.622233464126</v>
      </c>
      <c r="G152" s="6">
        <v>16422.916910000848</v>
      </c>
      <c r="H152" s="7">
        <v>1877.3699999999983</v>
      </c>
      <c r="I152" s="5">
        <f t="shared" si="8"/>
        <v>458687.19216607301</v>
      </c>
      <c r="J152" s="5">
        <f t="shared" si="9"/>
        <v>27.92970302898825</v>
      </c>
      <c r="K152" s="76">
        <f t="shared" si="10"/>
        <v>2.7728882948980613E-2</v>
      </c>
      <c r="L152" s="77">
        <f t="shared" si="11"/>
        <v>8.7478317593233417</v>
      </c>
    </row>
    <row r="153" spans="1:12" x14ac:dyDescent="0.25">
      <c r="A153" t="s">
        <v>79</v>
      </c>
      <c r="B153" s="4">
        <v>21</v>
      </c>
      <c r="C153" t="str">
        <f>VLOOKUP(B153,'[1]Route types'!A:B,2,FALSE)</f>
        <v>Core Local</v>
      </c>
      <c r="D153" s="4" t="s">
        <v>18</v>
      </c>
      <c r="E153" s="5">
        <v>1752161.6665451054</v>
      </c>
      <c r="F153" s="75">
        <v>110301.76045210857</v>
      </c>
      <c r="G153" s="6">
        <v>163911.56660624413</v>
      </c>
      <c r="H153" s="7">
        <v>8003.9400000000032</v>
      </c>
      <c r="I153" s="5">
        <f t="shared" si="8"/>
        <v>1641859.9060929967</v>
      </c>
      <c r="J153" s="5">
        <f t="shared" si="9"/>
        <v>10.016742198780564</v>
      </c>
      <c r="K153" s="76">
        <f t="shared" si="10"/>
        <v>6.2951816923149828E-2</v>
      </c>
      <c r="L153" s="77">
        <f t="shared" si="11"/>
        <v>20.478859987236795</v>
      </c>
    </row>
    <row r="154" spans="1:12" x14ac:dyDescent="0.25">
      <c r="A154" t="s">
        <v>79</v>
      </c>
      <c r="B154" s="4">
        <v>22</v>
      </c>
      <c r="C154" t="str">
        <f>VLOOKUP(B154,'[1]Route types'!A:B,2,FALSE)</f>
        <v>Core Local</v>
      </c>
      <c r="D154" s="4" t="s">
        <v>18</v>
      </c>
      <c r="E154" s="5">
        <v>1076299.2660878382</v>
      </c>
      <c r="F154" s="75">
        <v>54206.733544889466</v>
      </c>
      <c r="G154" s="6">
        <v>64721.864707539076</v>
      </c>
      <c r="H154" s="7">
        <v>5194.7100000000028</v>
      </c>
      <c r="I154" s="5">
        <f t="shared" si="8"/>
        <v>1022092.5325429487</v>
      </c>
      <c r="J154" s="5">
        <f t="shared" si="9"/>
        <v>15.792074860041712</v>
      </c>
      <c r="K154" s="76">
        <f t="shared" si="10"/>
        <v>5.0363997498503899E-2</v>
      </c>
      <c r="L154" s="77">
        <f t="shared" si="11"/>
        <v>12.459187270808004</v>
      </c>
    </row>
    <row r="155" spans="1:12" x14ac:dyDescent="0.25">
      <c r="A155" t="s">
        <v>79</v>
      </c>
      <c r="B155" s="4">
        <v>54</v>
      </c>
      <c r="C155" t="str">
        <f>VLOOKUP(B155,'[1]Route types'!A:B,2,FALSE)</f>
        <v>Core Local</v>
      </c>
      <c r="D155" s="4" t="s">
        <v>18</v>
      </c>
      <c r="E155" s="5">
        <v>862818.90680432157</v>
      </c>
      <c r="F155" s="75">
        <v>67236.27075195864</v>
      </c>
      <c r="G155" s="6">
        <v>73682.716337625548</v>
      </c>
      <c r="H155" s="7">
        <v>3840.0899999999956</v>
      </c>
      <c r="I155" s="5">
        <f t="shared" si="8"/>
        <v>795582.63605236297</v>
      </c>
      <c r="J155" s="5">
        <f t="shared" si="9"/>
        <v>10.797411870741584</v>
      </c>
      <c r="K155" s="76">
        <f t="shared" si="10"/>
        <v>7.7926283512940148E-2</v>
      </c>
      <c r="L155" s="77">
        <f t="shared" si="11"/>
        <v>19.187757666519701</v>
      </c>
    </row>
    <row r="156" spans="1:12" x14ac:dyDescent="0.25">
      <c r="A156" t="s">
        <v>79</v>
      </c>
      <c r="B156" s="4">
        <v>62</v>
      </c>
      <c r="C156" t="str">
        <f>VLOOKUP(B156,'[1]Route types'!A:B,2,FALSE)</f>
        <v>Core Local</v>
      </c>
      <c r="D156" s="4" t="s">
        <v>18</v>
      </c>
      <c r="E156" s="5">
        <v>469777.23437586543</v>
      </c>
      <c r="F156" s="75">
        <v>25826.207146685396</v>
      </c>
      <c r="G156" s="6">
        <v>33650.993319243702</v>
      </c>
      <c r="H156" s="7">
        <v>2023.5</v>
      </c>
      <c r="I156" s="5">
        <f t="shared" si="8"/>
        <v>443951.02722918004</v>
      </c>
      <c r="J156" s="5">
        <f t="shared" si="9"/>
        <v>13.192806019645833</v>
      </c>
      <c r="K156" s="76">
        <f t="shared" si="10"/>
        <v>5.497543358182834E-2</v>
      </c>
      <c r="L156" s="77">
        <f t="shared" si="11"/>
        <v>16.630093066095231</v>
      </c>
    </row>
    <row r="157" spans="1:12" x14ac:dyDescent="0.25">
      <c r="A157" t="s">
        <v>79</v>
      </c>
      <c r="B157" s="4">
        <v>63</v>
      </c>
      <c r="C157" t="str">
        <f>VLOOKUP(B157,'[1]Route types'!A:B,2,FALSE)</f>
        <v>Core Local</v>
      </c>
      <c r="D157" s="4" t="s">
        <v>18</v>
      </c>
      <c r="E157" s="5">
        <v>1106865.1918743148</v>
      </c>
      <c r="F157" s="75">
        <v>51706.867573748103</v>
      </c>
      <c r="G157" s="6">
        <v>60150.088342449897</v>
      </c>
      <c r="H157" s="7">
        <v>4976.1699999999983</v>
      </c>
      <c r="I157" s="5">
        <f t="shared" si="8"/>
        <v>1055158.3243005667</v>
      </c>
      <c r="J157" s="5">
        <f t="shared" si="9"/>
        <v>17.542091015615462</v>
      </c>
      <c r="K157" s="76">
        <f t="shared" si="10"/>
        <v>4.6714692948461103E-2</v>
      </c>
      <c r="L157" s="77">
        <f t="shared" si="11"/>
        <v>12.087627300202749</v>
      </c>
    </row>
    <row r="158" spans="1:12" x14ac:dyDescent="0.25">
      <c r="A158" t="s">
        <v>79</v>
      </c>
      <c r="B158" s="4">
        <v>64</v>
      </c>
      <c r="C158" t="str">
        <f>VLOOKUP(B158,'[1]Route types'!A:B,2,FALSE)</f>
        <v>Core Local</v>
      </c>
      <c r="D158" s="4" t="s">
        <v>18</v>
      </c>
      <c r="E158" s="5">
        <v>868778.91867466946</v>
      </c>
      <c r="F158" s="75">
        <v>52869.315932313584</v>
      </c>
      <c r="G158" s="6">
        <v>73171.790586787291</v>
      </c>
      <c r="H158" s="7">
        <v>3974.1899999999991</v>
      </c>
      <c r="I158" s="5">
        <f t="shared" si="8"/>
        <v>815909.6027423559</v>
      </c>
      <c r="J158" s="5">
        <f t="shared" si="9"/>
        <v>11.150603206499714</v>
      </c>
      <c r="K158" s="76">
        <f t="shared" si="10"/>
        <v>6.0854740827466475E-2</v>
      </c>
      <c r="L158" s="77">
        <f t="shared" si="11"/>
        <v>18.411749460088046</v>
      </c>
    </row>
    <row r="159" spans="1:12" x14ac:dyDescent="0.25">
      <c r="A159" t="s">
        <v>79</v>
      </c>
      <c r="B159" s="4">
        <v>68</v>
      </c>
      <c r="C159" t="str">
        <f>VLOOKUP(B159,'[1]Route types'!A:B,2,FALSE)</f>
        <v>Core Local</v>
      </c>
      <c r="D159" s="4" t="s">
        <v>18</v>
      </c>
      <c r="E159" s="5">
        <v>855659.66443038115</v>
      </c>
      <c r="F159" s="75">
        <v>39609.213466907189</v>
      </c>
      <c r="G159" s="6">
        <v>54284.533256942843</v>
      </c>
      <c r="H159" s="7">
        <v>3866.25</v>
      </c>
      <c r="I159" s="5">
        <f t="shared" si="8"/>
        <v>816050.450963474</v>
      </c>
      <c r="J159" s="5">
        <f t="shared" si="9"/>
        <v>15.032835358478529</v>
      </c>
      <c r="K159" s="76">
        <f t="shared" si="10"/>
        <v>4.629085033858097E-2</v>
      </c>
      <c r="L159" s="77">
        <f t="shared" si="11"/>
        <v>14.040616425979398</v>
      </c>
    </row>
    <row r="160" spans="1:12" x14ac:dyDescent="0.25">
      <c r="A160" t="s">
        <v>79</v>
      </c>
      <c r="B160" s="4">
        <v>70</v>
      </c>
      <c r="C160" t="str">
        <f>VLOOKUP(B160,'[1]Route types'!A:B,2,FALSE)</f>
        <v>Core Local</v>
      </c>
      <c r="D160" s="4" t="s">
        <v>18</v>
      </c>
      <c r="E160" s="5">
        <v>97661.062163260605</v>
      </c>
      <c r="F160" s="75">
        <v>2979.3794383081672</v>
      </c>
      <c r="G160" s="6">
        <v>3774.0523757346232</v>
      </c>
      <c r="H160" s="7">
        <v>430.02000000000055</v>
      </c>
      <c r="I160" s="5">
        <f t="shared" si="8"/>
        <v>94681.682724952436</v>
      </c>
      <c r="J160" s="5">
        <f t="shared" si="9"/>
        <v>25.087538088689758</v>
      </c>
      <c r="K160" s="76">
        <f t="shared" si="10"/>
        <v>3.0507342151650164E-2</v>
      </c>
      <c r="L160" s="77">
        <f t="shared" si="11"/>
        <v>8.776457782741776</v>
      </c>
    </row>
    <row r="161" spans="1:12" x14ac:dyDescent="0.25">
      <c r="A161" t="s">
        <v>79</v>
      </c>
      <c r="B161" s="4">
        <v>71</v>
      </c>
      <c r="C161" t="str">
        <f>VLOOKUP(B161,'[1]Route types'!A:B,2,FALSE)</f>
        <v>Core Local</v>
      </c>
      <c r="D161" s="4" t="s">
        <v>18</v>
      </c>
      <c r="E161" s="5">
        <v>151407.53933454579</v>
      </c>
      <c r="F161" s="75">
        <v>5913.5301939185192</v>
      </c>
      <c r="G161" s="6">
        <v>6683.4611731275681</v>
      </c>
      <c r="H161" s="7">
        <v>669.1800000000004</v>
      </c>
      <c r="I161" s="5">
        <f t="shared" si="8"/>
        <v>145494.00914062725</v>
      </c>
      <c r="J161" s="5">
        <f t="shared" si="9"/>
        <v>21.769260772490192</v>
      </c>
      <c r="K161" s="76">
        <f t="shared" si="10"/>
        <v>3.9057039166670235E-2</v>
      </c>
      <c r="L161" s="77">
        <f t="shared" si="11"/>
        <v>9.9875387386466485</v>
      </c>
    </row>
    <row r="162" spans="1:12" x14ac:dyDescent="0.25">
      <c r="A162" t="s">
        <v>79</v>
      </c>
      <c r="B162" s="4">
        <v>74</v>
      </c>
      <c r="C162" t="str">
        <f>VLOOKUP(B162,'[1]Route types'!A:B,2,FALSE)</f>
        <v>Core Local</v>
      </c>
      <c r="D162" s="4" t="s">
        <v>18</v>
      </c>
      <c r="E162" s="5">
        <v>899035.55224711716</v>
      </c>
      <c r="F162" s="75">
        <v>43217.571352736522</v>
      </c>
      <c r="G162" s="6">
        <v>52280.132234423494</v>
      </c>
      <c r="H162" s="7">
        <v>3969.179999999998</v>
      </c>
      <c r="I162" s="5">
        <f t="shared" si="8"/>
        <v>855817.9808943806</v>
      </c>
      <c r="J162" s="5">
        <f t="shared" si="9"/>
        <v>16.369851113935653</v>
      </c>
      <c r="K162" s="76">
        <f t="shared" si="10"/>
        <v>4.8071037062678186E-2</v>
      </c>
      <c r="L162" s="77">
        <f t="shared" si="11"/>
        <v>13.171519617256845</v>
      </c>
    </row>
    <row r="163" spans="1:12" x14ac:dyDescent="0.25">
      <c r="A163" t="s">
        <v>15</v>
      </c>
      <c r="B163" s="4" t="s">
        <v>71</v>
      </c>
      <c r="C163" t="s">
        <v>72</v>
      </c>
      <c r="D163" s="4" t="s">
        <v>69</v>
      </c>
      <c r="E163" s="5">
        <v>7562863</v>
      </c>
      <c r="F163" s="75">
        <v>488768</v>
      </c>
      <c r="G163" s="6">
        <v>115684</v>
      </c>
      <c r="H163" s="7">
        <v>82836</v>
      </c>
      <c r="I163" s="5">
        <f t="shared" si="8"/>
        <v>7074095</v>
      </c>
      <c r="J163" s="5">
        <f t="shared" si="9"/>
        <v>61.150159053974619</v>
      </c>
      <c r="K163" s="76">
        <f t="shared" si="10"/>
        <v>6.4627377224736188E-2</v>
      </c>
      <c r="L163" s="77">
        <f t="shared" si="11"/>
        <v>1.3965425660340915</v>
      </c>
    </row>
    <row r="164" spans="1:12" x14ac:dyDescent="0.25">
      <c r="A164" t="s">
        <v>73</v>
      </c>
      <c r="B164" s="4" t="s">
        <v>38</v>
      </c>
      <c r="C164" t="s">
        <v>72</v>
      </c>
      <c r="D164" s="4" t="s">
        <v>69</v>
      </c>
      <c r="E164" s="5">
        <v>957957.8</v>
      </c>
      <c r="F164" s="75">
        <v>38747</v>
      </c>
      <c r="G164" s="6">
        <v>24303</v>
      </c>
      <c r="H164" s="7">
        <v>10654</v>
      </c>
      <c r="I164" s="5">
        <f t="shared" si="8"/>
        <v>919210.8</v>
      </c>
      <c r="J164" s="5">
        <f t="shared" si="9"/>
        <v>37.822935440069131</v>
      </c>
      <c r="K164" s="76">
        <f t="shared" si="10"/>
        <v>4.0447501967205653E-2</v>
      </c>
      <c r="L164" s="77">
        <f t="shared" si="11"/>
        <v>2.2811150741505539</v>
      </c>
    </row>
    <row r="165" spans="1:12" x14ac:dyDescent="0.25">
      <c r="A165" t="s">
        <v>19</v>
      </c>
      <c r="B165" s="4" t="s">
        <v>40</v>
      </c>
      <c r="C165" t="s">
        <v>72</v>
      </c>
      <c r="D165" s="4" t="s">
        <v>14</v>
      </c>
      <c r="E165" s="5">
        <v>1065874</v>
      </c>
      <c r="F165" s="75">
        <v>180341</v>
      </c>
      <c r="G165" s="6">
        <v>59230</v>
      </c>
      <c r="H165" s="7">
        <v>25153.87</v>
      </c>
      <c r="I165" s="5">
        <f t="shared" si="8"/>
        <v>885533</v>
      </c>
      <c r="J165" s="5">
        <f t="shared" si="9"/>
        <v>14.950751308458551</v>
      </c>
      <c r="K165" s="76">
        <f t="shared" si="10"/>
        <v>0.169195420847117</v>
      </c>
      <c r="L165" s="77">
        <f t="shared" si="11"/>
        <v>2.3547072478310493</v>
      </c>
    </row>
    <row r="166" spans="1:12" x14ac:dyDescent="0.25">
      <c r="A166" t="s">
        <v>19</v>
      </c>
      <c r="B166" s="4" t="s">
        <v>40</v>
      </c>
      <c r="C166" t="s">
        <v>72</v>
      </c>
      <c r="D166" s="4" t="s">
        <v>17</v>
      </c>
      <c r="E166" s="5">
        <v>58418</v>
      </c>
      <c r="F166" s="75">
        <v>7860</v>
      </c>
      <c r="G166" s="6">
        <v>3437</v>
      </c>
      <c r="H166" s="7">
        <v>1450.7</v>
      </c>
      <c r="I166" s="5">
        <f t="shared" si="8"/>
        <v>50558</v>
      </c>
      <c r="J166" s="5">
        <f t="shared" si="9"/>
        <v>14.709921443118999</v>
      </c>
      <c r="K166" s="76">
        <f t="shared" si="10"/>
        <v>0.13454757095415795</v>
      </c>
      <c r="L166" s="77">
        <f t="shared" si="11"/>
        <v>2.369201075342938</v>
      </c>
    </row>
    <row r="167" spans="1:12" x14ac:dyDescent="0.25">
      <c r="A167" t="s">
        <v>76</v>
      </c>
      <c r="B167" s="4" t="s">
        <v>75</v>
      </c>
      <c r="C167" t="s">
        <v>72</v>
      </c>
      <c r="D167" s="4" t="s">
        <v>14</v>
      </c>
      <c r="E167" s="5">
        <v>1151172.3004733501</v>
      </c>
      <c r="F167" s="75">
        <v>72926.42</v>
      </c>
      <c r="G167" s="6">
        <v>32798</v>
      </c>
      <c r="H167" s="7">
        <v>11561.210000000001</v>
      </c>
      <c r="I167" s="5">
        <f t="shared" si="8"/>
        <v>1078245.8804733502</v>
      </c>
      <c r="J167" s="5">
        <f t="shared" si="9"/>
        <v>32.875354609224651</v>
      </c>
      <c r="K167" s="76">
        <f t="shared" si="10"/>
        <v>6.3349700101377887E-2</v>
      </c>
      <c r="L167" s="77">
        <f t="shared" si="11"/>
        <v>2.8369002898485536</v>
      </c>
    </row>
    <row r="168" spans="1:12" x14ac:dyDescent="0.25">
      <c r="A168" t="s">
        <v>79</v>
      </c>
      <c r="B168" s="4" t="s">
        <v>81</v>
      </c>
      <c r="C168" t="str">
        <f>VLOOKUP(B168,'[1]Route types'!A:B,2,FALSE)</f>
        <v>Light Rail</v>
      </c>
      <c r="D168" s="4" t="s">
        <v>14</v>
      </c>
      <c r="E168" s="5">
        <v>29224074.356387481</v>
      </c>
      <c r="F168" s="75">
        <v>2101322.381898337</v>
      </c>
      <c r="G168" s="6">
        <v>3157577</v>
      </c>
      <c r="H168" s="7">
        <v>33872.039999999972</v>
      </c>
      <c r="I168" s="5">
        <f t="shared" si="8"/>
        <v>27122751.974489145</v>
      </c>
      <c r="J168" s="5">
        <f t="shared" si="9"/>
        <v>8.5897357291648451</v>
      </c>
      <c r="K168" s="76">
        <f t="shared" si="10"/>
        <v>7.1903813146405191E-2</v>
      </c>
      <c r="L168" s="77">
        <f t="shared" si="11"/>
        <v>93.220750802136592</v>
      </c>
    </row>
    <row r="169" spans="1:12" x14ac:dyDescent="0.25">
      <c r="A169" t="s">
        <v>79</v>
      </c>
      <c r="B169" s="4" t="s">
        <v>82</v>
      </c>
      <c r="C169" t="str">
        <f>VLOOKUP(B169,'[1]Route types'!A:B,2,FALSE)</f>
        <v>Light Rail</v>
      </c>
      <c r="D169" s="4" t="s">
        <v>14</v>
      </c>
      <c r="E169" s="5">
        <v>31234209.320540417</v>
      </c>
      <c r="F169" s="75">
        <v>2805054.5836140546</v>
      </c>
      <c r="G169" s="6">
        <v>4541649</v>
      </c>
      <c r="H169" s="7">
        <v>38480.250000000051</v>
      </c>
      <c r="I169" s="5">
        <f t="shared" si="8"/>
        <v>28429154.736926362</v>
      </c>
      <c r="J169" s="5">
        <f t="shared" si="9"/>
        <v>6.2596547502738238</v>
      </c>
      <c r="K169" s="76">
        <f t="shared" si="10"/>
        <v>8.9807126373113555E-2</v>
      </c>
      <c r="L169" s="77">
        <f t="shared" si="11"/>
        <v>118.025454616329</v>
      </c>
    </row>
    <row r="170" spans="1:12" x14ac:dyDescent="0.25">
      <c r="A170" t="s">
        <v>79</v>
      </c>
      <c r="B170" s="4" t="s">
        <v>81</v>
      </c>
      <c r="C170" t="str">
        <f>VLOOKUP(B170,'[1]Route types'!A:B,2,FALSE)</f>
        <v>Light Rail</v>
      </c>
      <c r="D170" s="4" t="s">
        <v>17</v>
      </c>
      <c r="E170" s="5">
        <v>5626958.2164504398</v>
      </c>
      <c r="F170" s="75">
        <v>452217.63314802124</v>
      </c>
      <c r="G170" s="6">
        <v>679530.19</v>
      </c>
      <c r="H170" s="7">
        <v>6529.010000000002</v>
      </c>
      <c r="I170" s="5">
        <f t="shared" si="8"/>
        <v>5174740.5833024187</v>
      </c>
      <c r="J170" s="5">
        <f t="shared" si="9"/>
        <v>7.6151739237699196</v>
      </c>
      <c r="K170" s="76">
        <f t="shared" si="10"/>
        <v>8.0366268195480955E-2</v>
      </c>
      <c r="L170" s="77">
        <f t="shared" si="11"/>
        <v>104.0785953766344</v>
      </c>
    </row>
    <row r="171" spans="1:12" x14ac:dyDescent="0.25">
      <c r="A171" t="s">
        <v>79</v>
      </c>
      <c r="B171" s="4" t="s">
        <v>82</v>
      </c>
      <c r="C171" t="str">
        <f>VLOOKUP(B171,'[1]Route types'!A:B,2,FALSE)</f>
        <v>Light Rail</v>
      </c>
      <c r="D171" s="4" t="s">
        <v>17</v>
      </c>
      <c r="E171" s="5">
        <v>6030198.876438573</v>
      </c>
      <c r="F171" s="75">
        <v>517917.34712088172</v>
      </c>
      <c r="G171" s="6">
        <v>838557.23</v>
      </c>
      <c r="H171" s="7">
        <v>7406.8599999999979</v>
      </c>
      <c r="I171" s="5">
        <f t="shared" si="8"/>
        <v>5512281.529317691</v>
      </c>
      <c r="J171" s="5">
        <f t="shared" si="9"/>
        <v>6.5735305022862791</v>
      </c>
      <c r="K171" s="76">
        <f t="shared" si="10"/>
        <v>8.5887274654324997E-2</v>
      </c>
      <c r="L171" s="77">
        <f t="shared" si="11"/>
        <v>113.21359253448833</v>
      </c>
    </row>
    <row r="172" spans="1:12" x14ac:dyDescent="0.25">
      <c r="A172" t="s">
        <v>79</v>
      </c>
      <c r="B172" s="4" t="s">
        <v>81</v>
      </c>
      <c r="C172" t="str">
        <f>VLOOKUP(B172,'[1]Route types'!A:B,2,FALSE)</f>
        <v>Light Rail</v>
      </c>
      <c r="D172" s="4" t="s">
        <v>18</v>
      </c>
      <c r="E172" s="5">
        <v>6278159.7347466554</v>
      </c>
      <c r="F172" s="75">
        <v>473079.15284381859</v>
      </c>
      <c r="G172" s="6">
        <v>710878</v>
      </c>
      <c r="H172" s="7">
        <v>7267.8400000000038</v>
      </c>
      <c r="I172" s="5">
        <f t="shared" si="8"/>
        <v>5805080.5819028364</v>
      </c>
      <c r="J172" s="5">
        <f t="shared" si="9"/>
        <v>8.1660715086172821</v>
      </c>
      <c r="K172" s="76">
        <f t="shared" si="10"/>
        <v>7.5353156471242425E-2</v>
      </c>
      <c r="L172" s="77">
        <f t="shared" si="11"/>
        <v>97.811454297287725</v>
      </c>
    </row>
    <row r="173" spans="1:12" x14ac:dyDescent="0.25">
      <c r="A173" t="s">
        <v>79</v>
      </c>
      <c r="B173" s="4" t="s">
        <v>82</v>
      </c>
      <c r="C173" t="str">
        <f>VLOOKUP(B173,'[1]Route types'!A:B,2,FALSE)</f>
        <v>Light Rail</v>
      </c>
      <c r="D173" s="4" t="s">
        <v>18</v>
      </c>
      <c r="E173" s="5">
        <v>6714879.8654364487</v>
      </c>
      <c r="F173" s="75">
        <v>460358.18137488578</v>
      </c>
      <c r="G173" s="6">
        <v>745363.49</v>
      </c>
      <c r="H173" s="7">
        <v>8242.3699999999972</v>
      </c>
      <c r="I173" s="5">
        <f t="shared" si="8"/>
        <v>6254521.6840615626</v>
      </c>
      <c r="J173" s="5">
        <f t="shared" si="9"/>
        <v>8.3912369843357411</v>
      </c>
      <c r="K173" s="76">
        <f t="shared" si="10"/>
        <v>6.8557917729026085E-2</v>
      </c>
      <c r="L173" s="77">
        <f t="shared" si="11"/>
        <v>90.430724415429083</v>
      </c>
    </row>
    <row r="174" spans="1:12" x14ac:dyDescent="0.25">
      <c r="A174" t="s">
        <v>19</v>
      </c>
      <c r="B174" s="4">
        <v>682</v>
      </c>
      <c r="C174" t="s">
        <v>57</v>
      </c>
      <c r="D174" s="4" t="s">
        <v>57</v>
      </c>
      <c r="E174" s="5">
        <v>1072586</v>
      </c>
      <c r="F174" s="75">
        <v>98369</v>
      </c>
      <c r="G174" s="6">
        <v>61719</v>
      </c>
      <c r="H174" s="7">
        <v>1795.9</v>
      </c>
      <c r="I174" s="5">
        <f t="shared" si="8"/>
        <v>974217</v>
      </c>
      <c r="J174" s="5">
        <f t="shared" si="9"/>
        <v>15.784717834054343</v>
      </c>
      <c r="K174" s="76">
        <f t="shared" si="10"/>
        <v>9.1711993257417121E-2</v>
      </c>
      <c r="L174" s="77">
        <f t="shared" si="11"/>
        <v>34.366612840358592</v>
      </c>
    </row>
    <row r="175" spans="1:12" x14ac:dyDescent="0.25">
      <c r="A175" t="s">
        <v>16</v>
      </c>
      <c r="B175" s="4">
        <v>420</v>
      </c>
      <c r="C175" t="s">
        <v>31</v>
      </c>
      <c r="D175" s="4" t="s">
        <v>14</v>
      </c>
      <c r="E175" s="78">
        <v>515925.41513910878</v>
      </c>
      <c r="F175" s="78">
        <v>4266.6565743198271</v>
      </c>
      <c r="G175">
        <v>4637</v>
      </c>
      <c r="H175">
        <v>3166.2879999999996</v>
      </c>
      <c r="I175" s="5">
        <f t="shared" si="8"/>
        <v>511658.75856478896</v>
      </c>
      <c r="J175" s="5">
        <f t="shared" si="9"/>
        <v>110.34262638878347</v>
      </c>
      <c r="K175" s="76">
        <f t="shared" si="10"/>
        <v>8.2699096596538287E-3</v>
      </c>
      <c r="L175" s="77">
        <f t="shared" si="11"/>
        <v>1.4644909117553426</v>
      </c>
    </row>
    <row r="176" spans="1:12" x14ac:dyDescent="0.25">
      <c r="A176" t="s">
        <v>15</v>
      </c>
      <c r="B176" s="4">
        <v>219</v>
      </c>
      <c r="C176" t="s">
        <v>31</v>
      </c>
      <c r="D176" s="4" t="s">
        <v>14</v>
      </c>
      <c r="E176" s="5">
        <v>1197351</v>
      </c>
      <c r="F176" s="75">
        <v>66261.66</v>
      </c>
      <c r="G176" s="6">
        <v>58386</v>
      </c>
      <c r="H176" s="7">
        <v>12381</v>
      </c>
      <c r="I176" s="5">
        <f t="shared" si="8"/>
        <v>1131089.3400000001</v>
      </c>
      <c r="J176" s="5">
        <f t="shared" si="9"/>
        <v>19.372612270064742</v>
      </c>
      <c r="K176" s="76">
        <f t="shared" si="10"/>
        <v>5.534021352134838E-2</v>
      </c>
      <c r="L176" s="77">
        <f t="shared" si="11"/>
        <v>4.7157741700993459</v>
      </c>
    </row>
    <row r="177" spans="1:12" x14ac:dyDescent="0.25">
      <c r="A177" t="s">
        <v>15</v>
      </c>
      <c r="B177" s="4">
        <v>223</v>
      </c>
      <c r="C177" t="s">
        <v>31</v>
      </c>
      <c r="D177" s="4" t="s">
        <v>14</v>
      </c>
      <c r="E177" s="5">
        <v>78304</v>
      </c>
      <c r="F177" s="75">
        <v>3611.454999999999</v>
      </c>
      <c r="G177" s="6">
        <v>3412</v>
      </c>
      <c r="H177" s="7">
        <v>776</v>
      </c>
      <c r="I177" s="5">
        <f t="shared" si="8"/>
        <v>74692.544999999998</v>
      </c>
      <c r="J177" s="5">
        <f t="shared" si="9"/>
        <v>21.891132766705745</v>
      </c>
      <c r="K177" s="76">
        <f t="shared" si="10"/>
        <v>4.6120951675521035E-2</v>
      </c>
      <c r="L177" s="77">
        <f t="shared" si="11"/>
        <v>4.3969072164948457</v>
      </c>
    </row>
    <row r="178" spans="1:12" x14ac:dyDescent="0.25">
      <c r="A178" t="s">
        <v>15</v>
      </c>
      <c r="B178" s="4">
        <v>225</v>
      </c>
      <c r="C178" t="s">
        <v>31</v>
      </c>
      <c r="D178" s="4" t="s">
        <v>14</v>
      </c>
      <c r="E178" s="5">
        <v>188108</v>
      </c>
      <c r="F178" s="75">
        <v>7474.3229999999985</v>
      </c>
      <c r="G178" s="6">
        <v>8105</v>
      </c>
      <c r="H178" s="7">
        <v>1906</v>
      </c>
      <c r="I178" s="5">
        <f t="shared" si="8"/>
        <v>180633.677</v>
      </c>
      <c r="J178" s="5">
        <f t="shared" si="9"/>
        <v>22.286696730413325</v>
      </c>
      <c r="K178" s="76">
        <f t="shared" si="10"/>
        <v>3.9734211197822521E-2</v>
      </c>
      <c r="L178" s="77">
        <f t="shared" si="11"/>
        <v>4.2523609653725076</v>
      </c>
    </row>
    <row r="179" spans="1:12" x14ac:dyDescent="0.25">
      <c r="A179" t="s">
        <v>15</v>
      </c>
      <c r="B179" s="4">
        <v>227</v>
      </c>
      <c r="C179" t="s">
        <v>31</v>
      </c>
      <c r="D179" s="4" t="s">
        <v>14</v>
      </c>
      <c r="E179" s="5">
        <v>213341</v>
      </c>
      <c r="F179" s="75">
        <v>7009.9809999999961</v>
      </c>
      <c r="G179" s="6">
        <v>6523</v>
      </c>
      <c r="H179" s="7">
        <v>1778</v>
      </c>
      <c r="I179" s="5">
        <f t="shared" si="8"/>
        <v>206331.019</v>
      </c>
      <c r="J179" s="5">
        <f t="shared" si="9"/>
        <v>31.631307527211405</v>
      </c>
      <c r="K179" s="76">
        <f t="shared" si="10"/>
        <v>3.2858105099347973E-2</v>
      </c>
      <c r="L179" s="77">
        <f t="shared" si="11"/>
        <v>3.668728908886389</v>
      </c>
    </row>
    <row r="180" spans="1:12" x14ac:dyDescent="0.25">
      <c r="A180" t="s">
        <v>15</v>
      </c>
      <c r="B180" s="4">
        <v>323</v>
      </c>
      <c r="C180" t="s">
        <v>31</v>
      </c>
      <c r="D180" s="4" t="s">
        <v>14</v>
      </c>
      <c r="E180" s="5">
        <v>386342</v>
      </c>
      <c r="F180" s="75">
        <v>20554.792000000034</v>
      </c>
      <c r="G180" s="6">
        <v>24884</v>
      </c>
      <c r="H180" s="7">
        <v>3539</v>
      </c>
      <c r="I180" s="5">
        <f t="shared" si="8"/>
        <v>365787.20799999998</v>
      </c>
      <c r="J180" s="5">
        <f t="shared" si="9"/>
        <v>14.699694904356212</v>
      </c>
      <c r="K180" s="76">
        <f t="shared" si="10"/>
        <v>5.3203617520228279E-2</v>
      </c>
      <c r="L180" s="77">
        <f t="shared" si="11"/>
        <v>7.0313647923142133</v>
      </c>
    </row>
    <row r="181" spans="1:12" x14ac:dyDescent="0.25">
      <c r="A181" t="s">
        <v>15</v>
      </c>
      <c r="B181" s="4">
        <v>534</v>
      </c>
      <c r="C181" t="s">
        <v>31</v>
      </c>
      <c r="D181" s="4" t="s">
        <v>14</v>
      </c>
      <c r="E181" s="5">
        <v>24216</v>
      </c>
      <c r="F181" s="75">
        <v>1421.5500000000011</v>
      </c>
      <c r="G181" s="6">
        <v>919</v>
      </c>
      <c r="H181" s="7">
        <v>251</v>
      </c>
      <c r="I181" s="5">
        <f t="shared" si="8"/>
        <v>22794.449999999997</v>
      </c>
      <c r="J181" s="5">
        <f t="shared" si="9"/>
        <v>24.803536452665938</v>
      </c>
      <c r="K181" s="76">
        <f t="shared" si="10"/>
        <v>5.8702923686818675E-2</v>
      </c>
      <c r="L181" s="77">
        <f t="shared" si="11"/>
        <v>3.6613545816733066</v>
      </c>
    </row>
    <row r="182" spans="1:12" x14ac:dyDescent="0.25">
      <c r="A182" t="s">
        <v>15</v>
      </c>
      <c r="B182" s="4">
        <v>537</v>
      </c>
      <c r="C182" t="s">
        <v>31</v>
      </c>
      <c r="D182" s="4" t="s">
        <v>14</v>
      </c>
      <c r="E182" s="5">
        <v>72136</v>
      </c>
      <c r="F182" s="75">
        <v>2900.3470000000007</v>
      </c>
      <c r="G182" s="6">
        <v>2074</v>
      </c>
      <c r="H182" s="7">
        <v>726</v>
      </c>
      <c r="I182" s="5">
        <f t="shared" si="8"/>
        <v>69235.653000000006</v>
      </c>
      <c r="J182" s="5">
        <f t="shared" si="9"/>
        <v>33.382667791706851</v>
      </c>
      <c r="K182" s="76">
        <f t="shared" si="10"/>
        <v>4.0206651325274491E-2</v>
      </c>
      <c r="L182" s="77">
        <f t="shared" si="11"/>
        <v>2.8567493112947657</v>
      </c>
    </row>
    <row r="183" spans="1:12" x14ac:dyDescent="0.25">
      <c r="A183" t="s">
        <v>15</v>
      </c>
      <c r="B183" s="4">
        <v>538</v>
      </c>
      <c r="C183" t="s">
        <v>31</v>
      </c>
      <c r="D183" s="4" t="s">
        <v>14</v>
      </c>
      <c r="E183" s="5">
        <v>691433</v>
      </c>
      <c r="F183" s="75">
        <v>70252.715999999957</v>
      </c>
      <c r="G183" s="6">
        <v>59791</v>
      </c>
      <c r="H183" s="7">
        <v>7627</v>
      </c>
      <c r="I183" s="5">
        <f t="shared" si="8"/>
        <v>621180.28399999999</v>
      </c>
      <c r="J183" s="5">
        <f t="shared" si="9"/>
        <v>10.389193758257932</v>
      </c>
      <c r="K183" s="76">
        <f t="shared" si="10"/>
        <v>0.10160451699586215</v>
      </c>
      <c r="L183" s="77">
        <f t="shared" si="11"/>
        <v>7.8393863904549628</v>
      </c>
    </row>
    <row r="184" spans="1:12" x14ac:dyDescent="0.25">
      <c r="A184" t="s">
        <v>15</v>
      </c>
      <c r="B184" s="4">
        <v>539</v>
      </c>
      <c r="C184" t="s">
        <v>31</v>
      </c>
      <c r="D184" s="4" t="s">
        <v>14</v>
      </c>
      <c r="E184" s="5">
        <v>903450</v>
      </c>
      <c r="F184" s="75">
        <v>105659.04499999965</v>
      </c>
      <c r="G184" s="6">
        <v>87086</v>
      </c>
      <c r="H184" s="7">
        <v>10375</v>
      </c>
      <c r="I184" s="5">
        <f t="shared" si="8"/>
        <v>797790.95500000031</v>
      </c>
      <c r="J184" s="5">
        <f t="shared" si="9"/>
        <v>9.1609553200284815</v>
      </c>
      <c r="K184" s="76">
        <f t="shared" si="10"/>
        <v>0.11695062814765582</v>
      </c>
      <c r="L184" s="77">
        <f t="shared" si="11"/>
        <v>8.3938313253012051</v>
      </c>
    </row>
    <row r="185" spans="1:12" x14ac:dyDescent="0.25">
      <c r="A185" t="s">
        <v>15</v>
      </c>
      <c r="B185" s="4">
        <v>540</v>
      </c>
      <c r="C185" t="s">
        <v>31</v>
      </c>
      <c r="D185" s="4" t="s">
        <v>14</v>
      </c>
      <c r="E185" s="5">
        <v>891821.55732679344</v>
      </c>
      <c r="F185" s="75">
        <v>94687.019999999757</v>
      </c>
      <c r="G185" s="6">
        <v>82676</v>
      </c>
      <c r="H185" s="7">
        <v>9064</v>
      </c>
      <c r="I185" s="5">
        <f t="shared" si="8"/>
        <v>797134.53732679365</v>
      </c>
      <c r="J185" s="5">
        <f t="shared" si="9"/>
        <v>9.6416679245100596</v>
      </c>
      <c r="K185" s="76">
        <f t="shared" si="10"/>
        <v>0.10617260731375576</v>
      </c>
      <c r="L185" s="77">
        <f t="shared" si="11"/>
        <v>9.1213592233009706</v>
      </c>
    </row>
    <row r="186" spans="1:12" x14ac:dyDescent="0.25">
      <c r="A186" t="s">
        <v>15</v>
      </c>
      <c r="B186" s="4">
        <v>542</v>
      </c>
      <c r="C186" t="s">
        <v>31</v>
      </c>
      <c r="D186" s="4" t="s">
        <v>14</v>
      </c>
      <c r="E186" s="5">
        <v>33646.441606909604</v>
      </c>
      <c r="F186" s="75">
        <v>1428.2800000000016</v>
      </c>
      <c r="G186" s="6">
        <v>961</v>
      </c>
      <c r="H186" s="7">
        <v>346</v>
      </c>
      <c r="I186" s="5">
        <f t="shared" si="8"/>
        <v>32218.161606909602</v>
      </c>
      <c r="J186" s="5">
        <f t="shared" si="9"/>
        <v>33.525662442153589</v>
      </c>
      <c r="K186" s="76">
        <f t="shared" si="10"/>
        <v>4.2449659809098247E-2</v>
      </c>
      <c r="L186" s="77">
        <f t="shared" si="11"/>
        <v>2.7774566473988438</v>
      </c>
    </row>
    <row r="187" spans="1:12" x14ac:dyDescent="0.25">
      <c r="A187" t="s">
        <v>15</v>
      </c>
      <c r="B187" s="4">
        <v>546</v>
      </c>
      <c r="C187" t="s">
        <v>31</v>
      </c>
      <c r="D187" s="4" t="s">
        <v>14</v>
      </c>
      <c r="E187" s="5">
        <v>45652</v>
      </c>
      <c r="F187" s="75">
        <v>3065.7620000000047</v>
      </c>
      <c r="G187" s="6">
        <v>1828</v>
      </c>
      <c r="H187" s="7">
        <v>425</v>
      </c>
      <c r="I187" s="5">
        <f t="shared" si="8"/>
        <v>42586.237999999998</v>
      </c>
      <c r="J187" s="5">
        <f t="shared" si="9"/>
        <v>23.296629102844637</v>
      </c>
      <c r="K187" s="76">
        <f t="shared" si="10"/>
        <v>6.715504249540008E-2</v>
      </c>
      <c r="L187" s="77">
        <f t="shared" si="11"/>
        <v>4.3011764705882349</v>
      </c>
    </row>
    <row r="188" spans="1:12" x14ac:dyDescent="0.25">
      <c r="A188" t="s">
        <v>15</v>
      </c>
      <c r="B188" s="4">
        <v>547</v>
      </c>
      <c r="C188" t="s">
        <v>31</v>
      </c>
      <c r="D188" s="4" t="s">
        <v>14</v>
      </c>
      <c r="E188" s="5">
        <v>14245</v>
      </c>
      <c r="F188" s="75">
        <v>184.03399999999999</v>
      </c>
      <c r="G188" s="6">
        <v>169</v>
      </c>
      <c r="H188" s="7">
        <v>139</v>
      </c>
      <c r="I188" s="5">
        <f t="shared" si="8"/>
        <v>14060.966</v>
      </c>
      <c r="J188" s="5">
        <f t="shared" si="9"/>
        <v>83.200982248520717</v>
      </c>
      <c r="K188" s="76">
        <f t="shared" si="10"/>
        <v>1.2919199719199718E-2</v>
      </c>
      <c r="L188" s="77">
        <f t="shared" si="11"/>
        <v>1.2158273381294964</v>
      </c>
    </row>
    <row r="189" spans="1:12" x14ac:dyDescent="0.25">
      <c r="A189" t="s">
        <v>15</v>
      </c>
      <c r="B189" s="4">
        <v>604</v>
      </c>
      <c r="C189" t="s">
        <v>31</v>
      </c>
      <c r="D189" s="4" t="s">
        <v>14</v>
      </c>
      <c r="E189" s="5">
        <v>169174</v>
      </c>
      <c r="F189" s="75">
        <v>5500.1259999999984</v>
      </c>
      <c r="G189" s="6">
        <v>4884</v>
      </c>
      <c r="H189" s="7">
        <v>1610</v>
      </c>
      <c r="I189" s="5">
        <f t="shared" si="8"/>
        <v>163673.87400000001</v>
      </c>
      <c r="J189" s="5">
        <f t="shared" si="9"/>
        <v>33.512259213759215</v>
      </c>
      <c r="K189" s="76">
        <f t="shared" si="10"/>
        <v>3.2511650726470963E-2</v>
      </c>
      <c r="L189" s="77">
        <f t="shared" si="11"/>
        <v>3.0335403726708075</v>
      </c>
    </row>
    <row r="190" spans="1:12" x14ac:dyDescent="0.25">
      <c r="A190" t="s">
        <v>15</v>
      </c>
      <c r="B190" s="4">
        <v>615</v>
      </c>
      <c r="C190" t="s">
        <v>31</v>
      </c>
      <c r="D190" s="4" t="s">
        <v>14</v>
      </c>
      <c r="E190" s="5">
        <v>417813</v>
      </c>
      <c r="F190" s="75">
        <v>23374.340000000026</v>
      </c>
      <c r="G190" s="6">
        <v>18552</v>
      </c>
      <c r="H190" s="7">
        <v>5453</v>
      </c>
      <c r="I190" s="5">
        <f t="shared" si="8"/>
        <v>394438.66</v>
      </c>
      <c r="J190" s="5">
        <f t="shared" si="9"/>
        <v>21.261247304872789</v>
      </c>
      <c r="K190" s="76">
        <f t="shared" si="10"/>
        <v>5.5944501487507632E-2</v>
      </c>
      <c r="L190" s="77">
        <f t="shared" si="11"/>
        <v>3.4021639464514948</v>
      </c>
    </row>
    <row r="191" spans="1:12" x14ac:dyDescent="0.25">
      <c r="A191" t="s">
        <v>15</v>
      </c>
      <c r="B191" s="4">
        <v>705</v>
      </c>
      <c r="C191" t="s">
        <v>31</v>
      </c>
      <c r="D191" s="4" t="s">
        <v>14</v>
      </c>
      <c r="E191" s="5">
        <v>594987.5089702236</v>
      </c>
      <c r="F191" s="75">
        <v>25379.752000000037</v>
      </c>
      <c r="G191" s="6">
        <v>24079</v>
      </c>
      <c r="H191" s="7">
        <v>5685</v>
      </c>
      <c r="I191" s="5">
        <f t="shared" si="8"/>
        <v>569607.75697022351</v>
      </c>
      <c r="J191" s="5">
        <f t="shared" si="9"/>
        <v>23.655789566436461</v>
      </c>
      <c r="K191" s="76">
        <f t="shared" si="10"/>
        <v>4.2655940868281617E-2</v>
      </c>
      <c r="L191" s="77">
        <f t="shared" si="11"/>
        <v>4.2355321020228676</v>
      </c>
    </row>
    <row r="192" spans="1:12" x14ac:dyDescent="0.25">
      <c r="A192" t="s">
        <v>15</v>
      </c>
      <c r="B192" s="4">
        <v>716</v>
      </c>
      <c r="C192" t="s">
        <v>31</v>
      </c>
      <c r="D192" s="4" t="s">
        <v>14</v>
      </c>
      <c r="E192" s="5">
        <v>264744</v>
      </c>
      <c r="F192" s="75">
        <v>17939.127000000004</v>
      </c>
      <c r="G192" s="6">
        <v>15633</v>
      </c>
      <c r="H192" s="7">
        <v>3112</v>
      </c>
      <c r="I192" s="5">
        <f t="shared" si="8"/>
        <v>246804.87299999999</v>
      </c>
      <c r="J192" s="5">
        <f t="shared" si="9"/>
        <v>15.787428708501247</v>
      </c>
      <c r="K192" s="76">
        <f t="shared" si="10"/>
        <v>6.7760277853322476E-2</v>
      </c>
      <c r="L192" s="77">
        <f t="shared" si="11"/>
        <v>5.0234575835475574</v>
      </c>
    </row>
    <row r="193" spans="1:12" x14ac:dyDescent="0.25">
      <c r="A193" t="s">
        <v>15</v>
      </c>
      <c r="B193" s="4">
        <v>717</v>
      </c>
      <c r="C193" t="s">
        <v>31</v>
      </c>
      <c r="D193" s="4" t="s">
        <v>14</v>
      </c>
      <c r="E193" s="5">
        <v>274726</v>
      </c>
      <c r="F193" s="75">
        <v>24279.987000000023</v>
      </c>
      <c r="G193" s="6">
        <v>27664</v>
      </c>
      <c r="H193" s="7">
        <v>3480</v>
      </c>
      <c r="I193" s="5">
        <f t="shared" si="8"/>
        <v>250446.01299999998</v>
      </c>
      <c r="J193" s="5">
        <f t="shared" si="9"/>
        <v>9.0531381217466738</v>
      </c>
      <c r="K193" s="76">
        <f t="shared" si="10"/>
        <v>8.8378919359652974E-2</v>
      </c>
      <c r="L193" s="77">
        <f t="shared" si="11"/>
        <v>7.9494252873563216</v>
      </c>
    </row>
    <row r="194" spans="1:12" x14ac:dyDescent="0.25">
      <c r="A194" t="s">
        <v>15</v>
      </c>
      <c r="B194" s="4">
        <v>801</v>
      </c>
      <c r="C194" t="s">
        <v>31</v>
      </c>
      <c r="D194" s="4" t="s">
        <v>14</v>
      </c>
      <c r="E194" s="5">
        <v>392273</v>
      </c>
      <c r="F194" s="75">
        <v>35858.759000000049</v>
      </c>
      <c r="G194" s="6">
        <v>35490</v>
      </c>
      <c r="H194" s="7">
        <v>4315</v>
      </c>
      <c r="I194" s="5">
        <f t="shared" ref="I194:I257" si="12">E194-F194</f>
        <v>356414.24099999992</v>
      </c>
      <c r="J194" s="5">
        <f t="shared" ref="J194:J257" si="13">I194/G194</f>
        <v>10.042666694843616</v>
      </c>
      <c r="K194" s="76">
        <f t="shared" ref="K194:K257" si="14">F194/E194</f>
        <v>9.1412763560071816E-2</v>
      </c>
      <c r="L194" s="77">
        <f t="shared" ref="L194:L257" si="15">G194/H194</f>
        <v>8.2247972190034755</v>
      </c>
    </row>
    <row r="195" spans="1:12" x14ac:dyDescent="0.25">
      <c r="A195" t="s">
        <v>15</v>
      </c>
      <c r="B195" s="4">
        <v>804</v>
      </c>
      <c r="C195" t="s">
        <v>31</v>
      </c>
      <c r="D195" s="4" t="s">
        <v>14</v>
      </c>
      <c r="E195" s="5">
        <v>95944</v>
      </c>
      <c r="F195" s="75">
        <v>5466.6410000000014</v>
      </c>
      <c r="G195" s="6">
        <v>4706</v>
      </c>
      <c r="H195" s="7">
        <v>968</v>
      </c>
      <c r="I195" s="5">
        <f t="shared" si="12"/>
        <v>90477.358999999997</v>
      </c>
      <c r="J195" s="5">
        <f t="shared" si="13"/>
        <v>19.225958138546535</v>
      </c>
      <c r="K195" s="76">
        <f t="shared" si="14"/>
        <v>5.6977413908113082E-2</v>
      </c>
      <c r="L195" s="77">
        <f t="shared" si="15"/>
        <v>4.8615702479338845</v>
      </c>
    </row>
    <row r="196" spans="1:12" x14ac:dyDescent="0.25">
      <c r="A196" t="s">
        <v>15</v>
      </c>
      <c r="B196" s="4">
        <v>805</v>
      </c>
      <c r="C196" t="s">
        <v>31</v>
      </c>
      <c r="D196" s="4" t="s">
        <v>14</v>
      </c>
      <c r="E196" s="5">
        <v>497653</v>
      </c>
      <c r="F196" s="75">
        <v>39299.687000000049</v>
      </c>
      <c r="G196" s="6">
        <v>33432</v>
      </c>
      <c r="H196" s="7">
        <v>6038</v>
      </c>
      <c r="I196" s="5">
        <f t="shared" si="12"/>
        <v>458353.31299999997</v>
      </c>
      <c r="J196" s="5">
        <f t="shared" si="13"/>
        <v>13.710017737497008</v>
      </c>
      <c r="K196" s="76">
        <f t="shared" si="14"/>
        <v>7.8970059459101113E-2</v>
      </c>
      <c r="L196" s="77">
        <f t="shared" si="15"/>
        <v>5.5369327591917852</v>
      </c>
    </row>
    <row r="197" spans="1:12" x14ac:dyDescent="0.25">
      <c r="A197" t="s">
        <v>15</v>
      </c>
      <c r="B197" s="4">
        <v>831</v>
      </c>
      <c r="C197" t="s">
        <v>31</v>
      </c>
      <c r="D197" s="4" t="s">
        <v>14</v>
      </c>
      <c r="E197" s="5">
        <v>195128</v>
      </c>
      <c r="F197" s="75">
        <v>5067.3119999999999</v>
      </c>
      <c r="G197" s="6">
        <v>4824</v>
      </c>
      <c r="H197" s="7">
        <v>2222</v>
      </c>
      <c r="I197" s="5">
        <f t="shared" si="12"/>
        <v>190060.68799999999</v>
      </c>
      <c r="J197" s="5">
        <f t="shared" si="13"/>
        <v>39.39898175787728</v>
      </c>
      <c r="K197" s="76">
        <f t="shared" si="14"/>
        <v>2.5969168955762369E-2</v>
      </c>
      <c r="L197" s="77">
        <f t="shared" si="15"/>
        <v>2.1710171017101709</v>
      </c>
    </row>
    <row r="198" spans="1:12" x14ac:dyDescent="0.25">
      <c r="A198" t="s">
        <v>15</v>
      </c>
      <c r="B198" s="4">
        <v>219</v>
      </c>
      <c r="C198" t="s">
        <v>31</v>
      </c>
      <c r="D198" s="4" t="s">
        <v>17</v>
      </c>
      <c r="E198" s="5">
        <v>119491</v>
      </c>
      <c r="F198" s="75">
        <v>8698.6449999999986</v>
      </c>
      <c r="G198" s="6">
        <v>7817</v>
      </c>
      <c r="H198" s="7">
        <v>1261</v>
      </c>
      <c r="I198" s="5">
        <f t="shared" si="12"/>
        <v>110792.355</v>
      </c>
      <c r="J198" s="5">
        <f t="shared" si="13"/>
        <v>14.173257643597287</v>
      </c>
      <c r="K198" s="76">
        <f t="shared" si="14"/>
        <v>7.2797491024428604E-2</v>
      </c>
      <c r="L198" s="77">
        <f t="shared" si="15"/>
        <v>6.1990483743061064</v>
      </c>
    </row>
    <row r="199" spans="1:12" x14ac:dyDescent="0.25">
      <c r="A199" t="s">
        <v>15</v>
      </c>
      <c r="B199" s="4">
        <v>225</v>
      </c>
      <c r="C199" t="s">
        <v>31</v>
      </c>
      <c r="D199" s="4" t="s">
        <v>17</v>
      </c>
      <c r="E199" s="5">
        <v>36059</v>
      </c>
      <c r="F199" s="75">
        <v>1288.6270000000004</v>
      </c>
      <c r="G199" s="6">
        <v>1369</v>
      </c>
      <c r="H199" s="7">
        <v>329</v>
      </c>
      <c r="I199" s="5">
        <f t="shared" si="12"/>
        <v>34770.373</v>
      </c>
      <c r="J199" s="5">
        <f t="shared" si="13"/>
        <v>25.398373265157048</v>
      </c>
      <c r="K199" s="76">
        <f t="shared" si="14"/>
        <v>3.5736626085027326E-2</v>
      </c>
      <c r="L199" s="77">
        <f t="shared" si="15"/>
        <v>4.1610942249240122</v>
      </c>
    </row>
    <row r="200" spans="1:12" x14ac:dyDescent="0.25">
      <c r="A200" t="s">
        <v>15</v>
      </c>
      <c r="B200" s="4">
        <v>227</v>
      </c>
      <c r="C200" t="s">
        <v>31</v>
      </c>
      <c r="D200" s="4" t="s">
        <v>17</v>
      </c>
      <c r="E200" s="5">
        <v>36059</v>
      </c>
      <c r="F200" s="75">
        <v>1194.8650000000002</v>
      </c>
      <c r="G200" s="6">
        <v>1158</v>
      </c>
      <c r="H200" s="7">
        <v>329</v>
      </c>
      <c r="I200" s="5">
        <f t="shared" si="12"/>
        <v>34864.135000000002</v>
      </c>
      <c r="J200" s="5">
        <f t="shared" si="13"/>
        <v>30.107197754749571</v>
      </c>
      <c r="K200" s="76">
        <f t="shared" si="14"/>
        <v>3.3136387587010187E-2</v>
      </c>
      <c r="L200" s="77">
        <f t="shared" si="15"/>
        <v>3.5197568389057752</v>
      </c>
    </row>
    <row r="201" spans="1:12" x14ac:dyDescent="0.25">
      <c r="A201" t="s">
        <v>15</v>
      </c>
      <c r="B201" s="4">
        <v>323</v>
      </c>
      <c r="C201" t="s">
        <v>31</v>
      </c>
      <c r="D201" s="4" t="s">
        <v>17</v>
      </c>
      <c r="E201" s="5">
        <v>35981</v>
      </c>
      <c r="F201" s="75">
        <v>3114.2019999999989</v>
      </c>
      <c r="G201" s="6">
        <v>3404</v>
      </c>
      <c r="H201" s="7">
        <v>328</v>
      </c>
      <c r="I201" s="5">
        <f t="shared" si="12"/>
        <v>32866.798000000003</v>
      </c>
      <c r="J201" s="5">
        <f t="shared" si="13"/>
        <v>9.6553460634547594</v>
      </c>
      <c r="K201" s="76">
        <f t="shared" si="14"/>
        <v>8.6551290959117275E-2</v>
      </c>
      <c r="L201" s="77">
        <f t="shared" si="15"/>
        <v>10.378048780487806</v>
      </c>
    </row>
    <row r="202" spans="1:12" x14ac:dyDescent="0.25">
      <c r="A202" t="s">
        <v>15</v>
      </c>
      <c r="B202" s="4">
        <v>534</v>
      </c>
      <c r="C202" t="s">
        <v>31</v>
      </c>
      <c r="D202" s="4" t="s">
        <v>17</v>
      </c>
      <c r="E202" s="5">
        <v>4609</v>
      </c>
      <c r="F202" s="75">
        <v>75.52600000000001</v>
      </c>
      <c r="G202" s="6">
        <v>72</v>
      </c>
      <c r="H202" s="7">
        <v>49</v>
      </c>
      <c r="I202" s="5">
        <f t="shared" si="12"/>
        <v>4533.4740000000002</v>
      </c>
      <c r="J202" s="5">
        <f t="shared" si="13"/>
        <v>62.964916666666667</v>
      </c>
      <c r="K202" s="76">
        <f t="shared" si="14"/>
        <v>1.6386634844868738E-2</v>
      </c>
      <c r="L202" s="77">
        <f t="shared" si="15"/>
        <v>1.4693877551020409</v>
      </c>
    </row>
    <row r="203" spans="1:12" x14ac:dyDescent="0.25">
      <c r="A203" t="s">
        <v>15</v>
      </c>
      <c r="B203" s="4">
        <v>538</v>
      </c>
      <c r="C203" t="s">
        <v>31</v>
      </c>
      <c r="D203" s="4" t="s">
        <v>17</v>
      </c>
      <c r="E203" s="5">
        <v>100668</v>
      </c>
      <c r="F203" s="75">
        <v>9645.1710000000021</v>
      </c>
      <c r="G203" s="6">
        <v>9096</v>
      </c>
      <c r="H203" s="7">
        <v>1158</v>
      </c>
      <c r="I203" s="5">
        <f t="shared" si="12"/>
        <v>91022.828999999998</v>
      </c>
      <c r="J203" s="5">
        <f t="shared" si="13"/>
        <v>10.006907321899735</v>
      </c>
      <c r="K203" s="76">
        <f t="shared" si="14"/>
        <v>9.5811687924663269E-2</v>
      </c>
      <c r="L203" s="77">
        <f t="shared" si="15"/>
        <v>7.8549222797927465</v>
      </c>
    </row>
    <row r="204" spans="1:12" x14ac:dyDescent="0.25">
      <c r="A204" t="s">
        <v>15</v>
      </c>
      <c r="B204" s="4">
        <v>539</v>
      </c>
      <c r="C204" t="s">
        <v>31</v>
      </c>
      <c r="D204" s="4" t="s">
        <v>17</v>
      </c>
      <c r="E204" s="5">
        <v>117787</v>
      </c>
      <c r="F204" s="75">
        <v>12336.491000000005</v>
      </c>
      <c r="G204" s="6">
        <v>10536</v>
      </c>
      <c r="H204" s="7">
        <v>1339</v>
      </c>
      <c r="I204" s="5">
        <f t="shared" si="12"/>
        <v>105450.50899999999</v>
      </c>
      <c r="J204" s="5">
        <f t="shared" si="13"/>
        <v>10.008590451784357</v>
      </c>
      <c r="K204" s="76">
        <f t="shared" si="14"/>
        <v>0.10473559051508236</v>
      </c>
      <c r="L204" s="77">
        <f t="shared" si="15"/>
        <v>7.868558625840179</v>
      </c>
    </row>
    <row r="205" spans="1:12" x14ac:dyDescent="0.25">
      <c r="A205" t="s">
        <v>15</v>
      </c>
      <c r="B205" s="4">
        <v>540</v>
      </c>
      <c r="C205" t="s">
        <v>31</v>
      </c>
      <c r="D205" s="4" t="s">
        <v>17</v>
      </c>
      <c r="E205" s="5">
        <v>67525.308906245831</v>
      </c>
      <c r="F205" s="75">
        <v>7489.5660000000007</v>
      </c>
      <c r="G205" s="6">
        <v>6609</v>
      </c>
      <c r="H205" s="7">
        <v>665</v>
      </c>
      <c r="I205" s="5">
        <f t="shared" si="12"/>
        <v>60035.742906245832</v>
      </c>
      <c r="J205" s="5">
        <f t="shared" si="13"/>
        <v>9.0839374952709679</v>
      </c>
      <c r="K205" s="76">
        <f t="shared" si="14"/>
        <v>0.11091494613373394</v>
      </c>
      <c r="L205" s="77">
        <f t="shared" si="15"/>
        <v>9.9383458646616543</v>
      </c>
    </row>
    <row r="206" spans="1:12" x14ac:dyDescent="0.25">
      <c r="A206" t="s">
        <v>15</v>
      </c>
      <c r="B206" s="4">
        <v>546</v>
      </c>
      <c r="C206" t="s">
        <v>31</v>
      </c>
      <c r="D206" s="4" t="s">
        <v>17</v>
      </c>
      <c r="E206" s="5">
        <v>4682</v>
      </c>
      <c r="F206" s="75">
        <v>237.83399999999995</v>
      </c>
      <c r="G206" s="6">
        <v>158</v>
      </c>
      <c r="H206" s="7">
        <v>55</v>
      </c>
      <c r="I206" s="5">
        <f t="shared" si="12"/>
        <v>4444.1660000000002</v>
      </c>
      <c r="J206" s="5">
        <f t="shared" si="13"/>
        <v>28.127632911392407</v>
      </c>
      <c r="K206" s="76">
        <f t="shared" si="14"/>
        <v>5.0797522426313531E-2</v>
      </c>
      <c r="L206" s="77">
        <f t="shared" si="15"/>
        <v>2.8727272727272726</v>
      </c>
    </row>
    <row r="207" spans="1:12" x14ac:dyDescent="0.25">
      <c r="A207" t="s">
        <v>15</v>
      </c>
      <c r="B207" s="4">
        <v>615</v>
      </c>
      <c r="C207" t="s">
        <v>31</v>
      </c>
      <c r="D207" s="4" t="s">
        <v>17</v>
      </c>
      <c r="E207" s="5">
        <v>82259</v>
      </c>
      <c r="F207" s="75">
        <v>3574.3729999999982</v>
      </c>
      <c r="G207" s="6">
        <v>3378</v>
      </c>
      <c r="H207" s="7">
        <v>1071</v>
      </c>
      <c r="I207" s="5">
        <f t="shared" si="12"/>
        <v>78684.627000000008</v>
      </c>
      <c r="J207" s="5">
        <f t="shared" si="13"/>
        <v>23.293258436944939</v>
      </c>
      <c r="K207" s="76">
        <f t="shared" si="14"/>
        <v>4.3452667793189778E-2</v>
      </c>
      <c r="L207" s="77">
        <f t="shared" si="15"/>
        <v>3.1540616246498598</v>
      </c>
    </row>
    <row r="208" spans="1:12" x14ac:dyDescent="0.25">
      <c r="A208" t="s">
        <v>15</v>
      </c>
      <c r="B208" s="4">
        <v>716</v>
      </c>
      <c r="C208" t="s">
        <v>31</v>
      </c>
      <c r="D208" s="4" t="s">
        <v>17</v>
      </c>
      <c r="E208" s="5">
        <v>47185</v>
      </c>
      <c r="F208" s="75">
        <v>2321.4109999999996</v>
      </c>
      <c r="G208" s="6">
        <v>2442</v>
      </c>
      <c r="H208" s="7">
        <v>570</v>
      </c>
      <c r="I208" s="5">
        <f t="shared" si="12"/>
        <v>44863.589</v>
      </c>
      <c r="J208" s="5">
        <f t="shared" si="13"/>
        <v>18.371658067158066</v>
      </c>
      <c r="K208" s="76">
        <f t="shared" si="14"/>
        <v>4.919807142100243E-2</v>
      </c>
      <c r="L208" s="77">
        <f t="shared" si="15"/>
        <v>4.2842105263157899</v>
      </c>
    </row>
    <row r="209" spans="1:12" x14ac:dyDescent="0.25">
      <c r="A209" t="s">
        <v>15</v>
      </c>
      <c r="B209" s="4">
        <v>804</v>
      </c>
      <c r="C209" t="s">
        <v>31</v>
      </c>
      <c r="D209" s="4" t="s">
        <v>17</v>
      </c>
      <c r="E209" s="5">
        <v>16063</v>
      </c>
      <c r="F209" s="75">
        <v>573.40099999999995</v>
      </c>
      <c r="G209" s="6">
        <v>505</v>
      </c>
      <c r="H209" s="7">
        <v>161</v>
      </c>
      <c r="I209" s="5">
        <f t="shared" si="12"/>
        <v>15489.599</v>
      </c>
      <c r="J209" s="5">
        <f t="shared" si="13"/>
        <v>30.672473267326733</v>
      </c>
      <c r="K209" s="76">
        <f t="shared" si="14"/>
        <v>3.5697005540683557E-2</v>
      </c>
      <c r="L209" s="77">
        <f t="shared" si="15"/>
        <v>3.1366459627329193</v>
      </c>
    </row>
    <row r="210" spans="1:12" x14ac:dyDescent="0.25">
      <c r="A210" t="s">
        <v>15</v>
      </c>
      <c r="B210" s="4">
        <v>805</v>
      </c>
      <c r="C210" t="s">
        <v>31</v>
      </c>
      <c r="D210" s="4" t="s">
        <v>17</v>
      </c>
      <c r="E210" s="5">
        <v>79088</v>
      </c>
      <c r="F210" s="75">
        <v>5092.378999999999</v>
      </c>
      <c r="G210" s="6">
        <v>4719</v>
      </c>
      <c r="H210" s="7">
        <v>980</v>
      </c>
      <c r="I210" s="5">
        <f t="shared" si="12"/>
        <v>73995.620999999999</v>
      </c>
      <c r="J210" s="5">
        <f t="shared" si="13"/>
        <v>15.680360457724094</v>
      </c>
      <c r="K210" s="76">
        <f t="shared" si="14"/>
        <v>6.4388769471980564E-2</v>
      </c>
      <c r="L210" s="77">
        <f t="shared" si="15"/>
        <v>4.8153061224489795</v>
      </c>
    </row>
    <row r="211" spans="1:12" x14ac:dyDescent="0.25">
      <c r="A211" t="s">
        <v>15</v>
      </c>
      <c r="B211" s="4">
        <v>323</v>
      </c>
      <c r="C211" t="s">
        <v>31</v>
      </c>
      <c r="D211" s="4" t="s">
        <v>70</v>
      </c>
      <c r="E211" s="5">
        <v>78165</v>
      </c>
      <c r="F211" s="75">
        <v>2076.1179999999995</v>
      </c>
      <c r="G211" s="6">
        <v>2622</v>
      </c>
      <c r="H211" s="7">
        <v>685</v>
      </c>
      <c r="I211" s="5">
        <f t="shared" si="12"/>
        <v>76088.881999999998</v>
      </c>
      <c r="J211" s="5">
        <f t="shared" si="13"/>
        <v>29.019405797101449</v>
      </c>
      <c r="K211" s="76">
        <f t="shared" si="14"/>
        <v>2.6560711315806302E-2</v>
      </c>
      <c r="L211" s="77">
        <f t="shared" si="15"/>
        <v>3.8277372262773723</v>
      </c>
    </row>
    <row r="212" spans="1:12" x14ac:dyDescent="0.25">
      <c r="A212" t="s">
        <v>15</v>
      </c>
      <c r="B212" s="4">
        <v>534</v>
      </c>
      <c r="C212" t="s">
        <v>31</v>
      </c>
      <c r="D212" s="4" t="s">
        <v>70</v>
      </c>
      <c r="E212" s="5">
        <v>4682</v>
      </c>
      <c r="F212" s="75">
        <v>106.56600000000003</v>
      </c>
      <c r="G212" s="6">
        <v>68</v>
      </c>
      <c r="H212" s="7">
        <v>49</v>
      </c>
      <c r="I212" s="5">
        <f t="shared" si="12"/>
        <v>4575.4340000000002</v>
      </c>
      <c r="J212" s="5">
        <f t="shared" si="13"/>
        <v>67.285794117647058</v>
      </c>
      <c r="K212" s="76">
        <f t="shared" si="14"/>
        <v>2.2760785988893643E-2</v>
      </c>
      <c r="L212" s="77">
        <f t="shared" si="15"/>
        <v>1.3877551020408163</v>
      </c>
    </row>
    <row r="213" spans="1:12" x14ac:dyDescent="0.25">
      <c r="A213" t="s">
        <v>15</v>
      </c>
      <c r="B213" s="4">
        <v>538</v>
      </c>
      <c r="C213" t="s">
        <v>31</v>
      </c>
      <c r="D213" s="4" t="s">
        <v>70</v>
      </c>
      <c r="E213" s="5">
        <v>86768</v>
      </c>
      <c r="F213" s="75">
        <v>6147.0199999999986</v>
      </c>
      <c r="G213" s="6">
        <v>6479</v>
      </c>
      <c r="H213" s="7">
        <v>999</v>
      </c>
      <c r="I213" s="5">
        <f t="shared" si="12"/>
        <v>80620.98</v>
      </c>
      <c r="J213" s="5">
        <f t="shared" si="13"/>
        <v>12.443429541595926</v>
      </c>
      <c r="K213" s="76">
        <f t="shared" si="14"/>
        <v>7.0844320486815396E-2</v>
      </c>
      <c r="L213" s="77">
        <f t="shared" si="15"/>
        <v>6.4854854854854853</v>
      </c>
    </row>
    <row r="214" spans="1:12" x14ac:dyDescent="0.25">
      <c r="A214" t="s">
        <v>15</v>
      </c>
      <c r="B214" s="4">
        <v>539</v>
      </c>
      <c r="C214" t="s">
        <v>31</v>
      </c>
      <c r="D214" s="4" t="s">
        <v>70</v>
      </c>
      <c r="E214" s="5">
        <v>94596</v>
      </c>
      <c r="F214" s="75">
        <v>7117.4579999999987</v>
      </c>
      <c r="G214" s="6">
        <v>6848</v>
      </c>
      <c r="H214" s="7">
        <v>1061</v>
      </c>
      <c r="I214" s="5">
        <f t="shared" si="12"/>
        <v>87478.542000000001</v>
      </c>
      <c r="J214" s="5">
        <f t="shared" si="13"/>
        <v>12.77431980140187</v>
      </c>
      <c r="K214" s="76">
        <f t="shared" si="14"/>
        <v>7.5240580997082321E-2</v>
      </c>
      <c r="L214" s="77">
        <f t="shared" si="15"/>
        <v>6.4542884071630535</v>
      </c>
    </row>
    <row r="215" spans="1:12" x14ac:dyDescent="0.25">
      <c r="A215" t="s">
        <v>15</v>
      </c>
      <c r="B215" s="4">
        <v>540</v>
      </c>
      <c r="C215" t="s">
        <v>31</v>
      </c>
      <c r="D215" s="4" t="s">
        <v>70</v>
      </c>
      <c r="E215" s="5">
        <v>62396.943672860078</v>
      </c>
      <c r="F215" s="75">
        <v>4857.873999999998</v>
      </c>
      <c r="G215" s="6">
        <v>4717</v>
      </c>
      <c r="H215" s="7">
        <v>603</v>
      </c>
      <c r="I215" s="5">
        <f t="shared" si="12"/>
        <v>57539.069672860081</v>
      </c>
      <c r="J215" s="5">
        <f t="shared" si="13"/>
        <v>12.198233977710427</v>
      </c>
      <c r="K215" s="76">
        <f t="shared" si="14"/>
        <v>7.7854358147239816E-2</v>
      </c>
      <c r="L215" s="77">
        <f t="shared" si="15"/>
        <v>7.8225538971807627</v>
      </c>
    </row>
    <row r="216" spans="1:12" x14ac:dyDescent="0.25">
      <c r="A216" t="s">
        <v>15</v>
      </c>
      <c r="B216" s="4">
        <v>546</v>
      </c>
      <c r="C216" t="s">
        <v>31</v>
      </c>
      <c r="D216" s="4" t="s">
        <v>70</v>
      </c>
      <c r="E216" s="5">
        <v>4609</v>
      </c>
      <c r="F216" s="75">
        <v>211.61599999999996</v>
      </c>
      <c r="G216" s="6">
        <v>139</v>
      </c>
      <c r="H216" s="7">
        <v>55</v>
      </c>
      <c r="I216" s="5">
        <f t="shared" si="12"/>
        <v>4397.384</v>
      </c>
      <c r="J216" s="5">
        <f t="shared" si="13"/>
        <v>31.635856115107913</v>
      </c>
      <c r="K216" s="76">
        <f t="shared" si="14"/>
        <v>4.5913647211976556E-2</v>
      </c>
      <c r="L216" s="77">
        <f t="shared" si="15"/>
        <v>2.5272727272727273</v>
      </c>
    </row>
    <row r="217" spans="1:12" x14ac:dyDescent="0.25">
      <c r="A217" t="s">
        <v>15</v>
      </c>
      <c r="B217" s="4">
        <v>804</v>
      </c>
      <c r="C217" t="s">
        <v>31</v>
      </c>
      <c r="D217" s="4" t="s">
        <v>70</v>
      </c>
      <c r="E217" s="5">
        <v>16423</v>
      </c>
      <c r="F217" s="75">
        <v>347.61700000000002</v>
      </c>
      <c r="G217" s="6">
        <v>377</v>
      </c>
      <c r="H217" s="7">
        <v>162</v>
      </c>
      <c r="I217" s="5">
        <f t="shared" si="12"/>
        <v>16075.383</v>
      </c>
      <c r="J217" s="5">
        <f t="shared" si="13"/>
        <v>42.640273209549072</v>
      </c>
      <c r="K217" s="76">
        <f t="shared" si="14"/>
        <v>2.1166473847652682E-2</v>
      </c>
      <c r="L217" s="77">
        <f t="shared" si="15"/>
        <v>2.3271604938271606</v>
      </c>
    </row>
    <row r="218" spans="1:12" x14ac:dyDescent="0.25">
      <c r="A218" t="s">
        <v>73</v>
      </c>
      <c r="B218" s="4">
        <v>788</v>
      </c>
      <c r="C218" t="s">
        <v>31</v>
      </c>
      <c r="D218" s="4" t="s">
        <v>14</v>
      </c>
      <c r="E218" s="5">
        <v>0</v>
      </c>
      <c r="F218" s="75">
        <v>0</v>
      </c>
      <c r="G218" s="6">
        <v>0</v>
      </c>
      <c r="H218" s="7">
        <v>0</v>
      </c>
      <c r="I218" s="5">
        <f t="shared" si="12"/>
        <v>0</v>
      </c>
      <c r="J218" s="5" t="e">
        <f t="shared" si="13"/>
        <v>#DIV/0!</v>
      </c>
      <c r="K218" s="76" t="e">
        <f t="shared" si="14"/>
        <v>#DIV/0!</v>
      </c>
      <c r="L218" s="77" t="e">
        <f t="shared" si="15"/>
        <v>#DIV/0!</v>
      </c>
    </row>
    <row r="219" spans="1:12" x14ac:dyDescent="0.25">
      <c r="A219" t="s">
        <v>16</v>
      </c>
      <c r="B219" s="4">
        <v>425</v>
      </c>
      <c r="C219" t="s">
        <v>31</v>
      </c>
      <c r="D219" s="4" t="s">
        <v>14</v>
      </c>
      <c r="E219" s="78">
        <v>89091.404803138284</v>
      </c>
      <c r="F219" s="78">
        <v>492.65390914334591</v>
      </c>
      <c r="G219">
        <v>409</v>
      </c>
      <c r="H219">
        <v>631.31399999999985</v>
      </c>
      <c r="I219" s="5">
        <f t="shared" si="12"/>
        <v>88598.750893994933</v>
      </c>
      <c r="J219" s="5">
        <f t="shared" si="13"/>
        <v>216.6228628215035</v>
      </c>
      <c r="K219" s="76">
        <f t="shared" si="14"/>
        <v>5.5297580078790265E-3</v>
      </c>
      <c r="L219" s="77">
        <f t="shared" si="15"/>
        <v>0.64785510855137074</v>
      </c>
    </row>
    <row r="220" spans="1:12" x14ac:dyDescent="0.25">
      <c r="A220" t="s">
        <v>16</v>
      </c>
      <c r="B220" s="4">
        <v>436</v>
      </c>
      <c r="C220" t="s">
        <v>31</v>
      </c>
      <c r="D220" s="4" t="s">
        <v>14</v>
      </c>
      <c r="E220" s="78">
        <v>367820.47115124669</v>
      </c>
      <c r="F220" s="78">
        <v>11131.721251847153</v>
      </c>
      <c r="G220">
        <v>6583</v>
      </c>
      <c r="H220">
        <v>1473.1999999999998</v>
      </c>
      <c r="I220" s="5">
        <f t="shared" si="12"/>
        <v>356688.74989939953</v>
      </c>
      <c r="J220" s="5">
        <f t="shared" si="13"/>
        <v>54.183313063861391</v>
      </c>
      <c r="K220" s="76">
        <f t="shared" si="14"/>
        <v>3.0264006831935742E-2</v>
      </c>
      <c r="L220" s="77">
        <f t="shared" si="15"/>
        <v>4.468503937007875</v>
      </c>
    </row>
    <row r="221" spans="1:12" x14ac:dyDescent="0.25">
      <c r="A221" t="s">
        <v>16</v>
      </c>
      <c r="B221" s="4">
        <v>440</v>
      </c>
      <c r="C221" t="s">
        <v>31</v>
      </c>
      <c r="D221" s="4" t="s">
        <v>14</v>
      </c>
      <c r="E221" s="78">
        <v>805921.06614933023</v>
      </c>
      <c r="F221" s="78">
        <v>20157.650428226807</v>
      </c>
      <c r="G221">
        <v>15080</v>
      </c>
      <c r="H221">
        <v>4976.9519999999993</v>
      </c>
      <c r="I221" s="5">
        <f t="shared" si="12"/>
        <v>785763.41572110343</v>
      </c>
      <c r="J221" s="5">
        <f t="shared" si="13"/>
        <v>52.106327302460443</v>
      </c>
      <c r="K221" s="76">
        <f t="shared" si="14"/>
        <v>2.5011941336314153E-2</v>
      </c>
      <c r="L221" s="77">
        <f t="shared" si="15"/>
        <v>3.0299669355862791</v>
      </c>
    </row>
    <row r="222" spans="1:12" x14ac:dyDescent="0.25">
      <c r="A222" t="s">
        <v>16</v>
      </c>
      <c r="B222" s="4">
        <v>442</v>
      </c>
      <c r="C222" t="s">
        <v>31</v>
      </c>
      <c r="D222" s="4" t="s">
        <v>14</v>
      </c>
      <c r="E222" s="78">
        <v>1588412.4850165143</v>
      </c>
      <c r="F222" s="78">
        <v>27547.809770311138</v>
      </c>
      <c r="G222">
        <v>25672</v>
      </c>
      <c r="H222">
        <v>9937.3669999999984</v>
      </c>
      <c r="I222" s="5">
        <f t="shared" si="12"/>
        <v>1560864.6752462031</v>
      </c>
      <c r="J222" s="5">
        <f t="shared" si="13"/>
        <v>60.800275601675096</v>
      </c>
      <c r="K222" s="76">
        <f t="shared" si="14"/>
        <v>1.7342982399200124E-2</v>
      </c>
      <c r="L222" s="77">
        <f t="shared" si="15"/>
        <v>2.5833804870042543</v>
      </c>
    </row>
    <row r="223" spans="1:12" x14ac:dyDescent="0.25">
      <c r="A223" t="s">
        <v>16</v>
      </c>
      <c r="B223" s="4">
        <v>444</v>
      </c>
      <c r="C223" t="s">
        <v>31</v>
      </c>
      <c r="D223" s="4" t="s">
        <v>14</v>
      </c>
      <c r="E223" s="78">
        <v>2133921.9796466166</v>
      </c>
      <c r="F223" s="78">
        <v>121602.13595442027</v>
      </c>
      <c r="G223">
        <v>98226</v>
      </c>
      <c r="H223">
        <v>14062.901999999996</v>
      </c>
      <c r="I223" s="5">
        <f t="shared" si="12"/>
        <v>2012319.8436921963</v>
      </c>
      <c r="J223" s="5">
        <f t="shared" si="13"/>
        <v>20.486631275753837</v>
      </c>
      <c r="K223" s="76">
        <f t="shared" si="14"/>
        <v>5.6985277397329177E-2</v>
      </c>
      <c r="L223" s="77">
        <f t="shared" si="15"/>
        <v>6.9847603289847306</v>
      </c>
    </row>
    <row r="224" spans="1:12" x14ac:dyDescent="0.25">
      <c r="A224" t="s">
        <v>16</v>
      </c>
      <c r="B224" s="4" t="s">
        <v>32</v>
      </c>
      <c r="C224" t="s">
        <v>31</v>
      </c>
      <c r="D224" s="4" t="s">
        <v>14</v>
      </c>
      <c r="E224" s="78">
        <v>1044081.4869888079</v>
      </c>
      <c r="F224" s="78">
        <v>31846.676517589494</v>
      </c>
      <c r="G224">
        <v>27441</v>
      </c>
      <c r="H224">
        <v>6836.9739999999965</v>
      </c>
      <c r="I224" s="5">
        <f t="shared" si="12"/>
        <v>1012234.8104712184</v>
      </c>
      <c r="J224" s="5">
        <f t="shared" si="13"/>
        <v>36.887679402034124</v>
      </c>
      <c r="K224" s="76">
        <f t="shared" si="14"/>
        <v>3.0502098652699199E-2</v>
      </c>
      <c r="L224" s="77">
        <f t="shared" si="15"/>
        <v>4.0136177203540653</v>
      </c>
    </row>
    <row r="225" spans="1:12" x14ac:dyDescent="0.25">
      <c r="A225" t="s">
        <v>16</v>
      </c>
      <c r="B225" s="4">
        <v>446</v>
      </c>
      <c r="C225" t="s">
        <v>31</v>
      </c>
      <c r="D225" s="4" t="s">
        <v>14</v>
      </c>
      <c r="E225" s="78">
        <v>1089122.2835107385</v>
      </c>
      <c r="F225" s="78">
        <v>41571.828762162171</v>
      </c>
      <c r="G225">
        <v>29277</v>
      </c>
      <c r="H225">
        <v>7187.2259999999997</v>
      </c>
      <c r="I225" s="5">
        <f t="shared" si="12"/>
        <v>1047550.4547485764</v>
      </c>
      <c r="J225" s="5">
        <f t="shared" si="13"/>
        <v>35.780662456828786</v>
      </c>
      <c r="K225" s="76">
        <f t="shared" si="14"/>
        <v>3.8170028647432665E-2</v>
      </c>
      <c r="L225" s="77">
        <f t="shared" si="15"/>
        <v>4.0734770271590177</v>
      </c>
    </row>
    <row r="226" spans="1:12" x14ac:dyDescent="0.25">
      <c r="A226" t="s">
        <v>16</v>
      </c>
      <c r="B226" s="4">
        <v>447</v>
      </c>
      <c r="C226" t="s">
        <v>31</v>
      </c>
      <c r="D226" s="4" t="s">
        <v>14</v>
      </c>
      <c r="E226" s="78">
        <v>1605272.3267902199</v>
      </c>
      <c r="F226" s="78">
        <v>6362.3556165215268</v>
      </c>
      <c r="G226">
        <v>10309</v>
      </c>
      <c r="H226">
        <v>10304.592000000001</v>
      </c>
      <c r="I226" s="5">
        <f t="shared" si="12"/>
        <v>1598909.9711736983</v>
      </c>
      <c r="J226" s="5">
        <f t="shared" si="13"/>
        <v>155.09845486213001</v>
      </c>
      <c r="K226" s="76">
        <f t="shared" si="14"/>
        <v>3.9634120082560741E-3</v>
      </c>
      <c r="L226" s="77">
        <f t="shared" si="15"/>
        <v>1.000427770454182</v>
      </c>
    </row>
    <row r="227" spans="1:12" x14ac:dyDescent="0.25">
      <c r="A227" t="s">
        <v>16</v>
      </c>
      <c r="B227" s="4">
        <v>489</v>
      </c>
      <c r="C227" t="s">
        <v>31</v>
      </c>
      <c r="D227" s="4" t="s">
        <v>14</v>
      </c>
      <c r="E227" s="78">
        <v>63227.139740948973</v>
      </c>
      <c r="F227" s="78">
        <v>1463.2870207807757</v>
      </c>
      <c r="G227">
        <v>914</v>
      </c>
      <c r="H227">
        <v>359.85599999999999</v>
      </c>
      <c r="I227" s="5">
        <f t="shared" si="12"/>
        <v>61763.852720168194</v>
      </c>
      <c r="J227" s="5">
        <f t="shared" si="13"/>
        <v>67.57533120368511</v>
      </c>
      <c r="K227" s="76">
        <f t="shared" si="14"/>
        <v>2.3143337288007666E-2</v>
      </c>
      <c r="L227" s="77">
        <f t="shared" si="15"/>
        <v>2.5399048508292208</v>
      </c>
    </row>
    <row r="228" spans="1:12" x14ac:dyDescent="0.25">
      <c r="A228" t="s">
        <v>16</v>
      </c>
      <c r="B228" s="4">
        <v>497</v>
      </c>
      <c r="C228" t="s">
        <v>31</v>
      </c>
      <c r="D228" s="4" t="s">
        <v>14</v>
      </c>
      <c r="E228" s="78">
        <v>373676.52488777519</v>
      </c>
      <c r="F228" s="78">
        <v>11215.202970920593</v>
      </c>
      <c r="G228">
        <v>9442</v>
      </c>
      <c r="H228">
        <v>3266.253999999999</v>
      </c>
      <c r="I228" s="5">
        <f t="shared" si="12"/>
        <v>362461.32191685459</v>
      </c>
      <c r="J228" s="5">
        <f t="shared" si="13"/>
        <v>38.38819338242476</v>
      </c>
      <c r="K228" s="76">
        <f t="shared" si="14"/>
        <v>3.0013132278750479E-2</v>
      </c>
      <c r="L228" s="77">
        <f t="shared" si="15"/>
        <v>2.8907733446327208</v>
      </c>
    </row>
    <row r="229" spans="1:12" x14ac:dyDescent="0.25">
      <c r="A229" t="s">
        <v>16</v>
      </c>
      <c r="B229" s="4">
        <v>499</v>
      </c>
      <c r="C229" t="s">
        <v>31</v>
      </c>
      <c r="D229" s="4" t="s">
        <v>14</v>
      </c>
      <c r="E229" s="78">
        <v>356603.21832189802</v>
      </c>
      <c r="F229" s="78">
        <v>6398.2645516627035</v>
      </c>
      <c r="G229">
        <v>8688</v>
      </c>
      <c r="H229">
        <v>3082.5439999999985</v>
      </c>
      <c r="I229" s="5">
        <f t="shared" si="12"/>
        <v>350204.9537702353</v>
      </c>
      <c r="J229" s="5">
        <f t="shared" si="13"/>
        <v>40.30904164022045</v>
      </c>
      <c r="K229" s="76">
        <f t="shared" si="14"/>
        <v>1.7942251283574025E-2</v>
      </c>
      <c r="L229" s="77">
        <f t="shared" si="15"/>
        <v>2.8184512532505632</v>
      </c>
    </row>
    <row r="230" spans="1:12" x14ac:dyDescent="0.25">
      <c r="A230" t="s">
        <v>16</v>
      </c>
      <c r="B230" s="4">
        <v>420</v>
      </c>
      <c r="C230" t="s">
        <v>31</v>
      </c>
      <c r="D230" s="4" t="s">
        <v>17</v>
      </c>
      <c r="E230" s="78">
        <v>85809.275703088468</v>
      </c>
      <c r="F230" s="78">
        <v>461.65989393388651</v>
      </c>
      <c r="G230">
        <v>548</v>
      </c>
      <c r="H230">
        <v>530.42399999999986</v>
      </c>
      <c r="I230" s="5">
        <f t="shared" si="12"/>
        <v>85347.61580915458</v>
      </c>
      <c r="J230" s="5">
        <f t="shared" si="13"/>
        <v>155.74382446926018</v>
      </c>
      <c r="K230" s="76">
        <f t="shared" si="14"/>
        <v>5.3800698135629448E-3</v>
      </c>
      <c r="L230" s="77">
        <f t="shared" si="15"/>
        <v>1.0331357555465064</v>
      </c>
    </row>
    <row r="231" spans="1:12" x14ac:dyDescent="0.25">
      <c r="A231" t="s">
        <v>16</v>
      </c>
      <c r="B231" s="4">
        <v>440</v>
      </c>
      <c r="C231" t="s">
        <v>31</v>
      </c>
      <c r="D231" s="4" t="s">
        <v>17</v>
      </c>
      <c r="E231" s="78">
        <v>128545.68890604534</v>
      </c>
      <c r="F231" s="78">
        <v>1945.5198107650258</v>
      </c>
      <c r="G231">
        <v>1748</v>
      </c>
      <c r="H231">
        <v>781.30500000000006</v>
      </c>
      <c r="I231" s="5">
        <f t="shared" si="12"/>
        <v>126600.16909528032</v>
      </c>
      <c r="J231" s="5">
        <f t="shared" si="13"/>
        <v>72.425726027048242</v>
      </c>
      <c r="K231" s="76">
        <f t="shared" si="14"/>
        <v>1.5134850708116827E-2</v>
      </c>
      <c r="L231" s="77">
        <f t="shared" si="15"/>
        <v>2.2372824953123298</v>
      </c>
    </row>
    <row r="232" spans="1:12" x14ac:dyDescent="0.25">
      <c r="A232" t="s">
        <v>16</v>
      </c>
      <c r="B232" s="4">
        <v>442</v>
      </c>
      <c r="C232" t="s">
        <v>31</v>
      </c>
      <c r="D232" s="4" t="s">
        <v>17</v>
      </c>
      <c r="E232" s="78">
        <v>238452.7971379064</v>
      </c>
      <c r="F232" s="78">
        <v>4117.2534175464252</v>
      </c>
      <c r="G232">
        <v>4151</v>
      </c>
      <c r="H232">
        <v>1486.7699999999982</v>
      </c>
      <c r="I232" s="5">
        <f t="shared" si="12"/>
        <v>234335.54372035997</v>
      </c>
      <c r="J232" s="5">
        <f t="shared" si="13"/>
        <v>56.452792994545888</v>
      </c>
      <c r="K232" s="76">
        <f t="shared" si="14"/>
        <v>1.7266534370596037E-2</v>
      </c>
      <c r="L232" s="77">
        <f t="shared" si="15"/>
        <v>2.7919584064784768</v>
      </c>
    </row>
    <row r="233" spans="1:12" x14ac:dyDescent="0.25">
      <c r="A233" t="s">
        <v>16</v>
      </c>
      <c r="B233" s="4">
        <v>444</v>
      </c>
      <c r="C233" t="s">
        <v>31</v>
      </c>
      <c r="D233" s="4" t="s">
        <v>17</v>
      </c>
      <c r="E233" s="78">
        <v>212253.150547039</v>
      </c>
      <c r="F233" s="78">
        <v>14566.362980870594</v>
      </c>
      <c r="G233">
        <v>12716</v>
      </c>
      <c r="H233">
        <v>1269.1380000000001</v>
      </c>
      <c r="I233" s="5">
        <f t="shared" si="12"/>
        <v>197686.78756616841</v>
      </c>
      <c r="J233" s="5">
        <f t="shared" si="13"/>
        <v>15.546302891331269</v>
      </c>
      <c r="K233" s="76">
        <f t="shared" si="14"/>
        <v>6.8627311035566629E-2</v>
      </c>
      <c r="L233" s="77">
        <f t="shared" si="15"/>
        <v>10.019398993647656</v>
      </c>
    </row>
    <row r="234" spans="1:12" x14ac:dyDescent="0.25">
      <c r="A234" t="s">
        <v>16</v>
      </c>
      <c r="B234" s="4">
        <v>445</v>
      </c>
      <c r="C234" t="s">
        <v>31</v>
      </c>
      <c r="D234" s="4" t="s">
        <v>17</v>
      </c>
      <c r="E234" s="78">
        <v>122124.40171656931</v>
      </c>
      <c r="F234" s="78">
        <v>4330.7553126125549</v>
      </c>
      <c r="G234">
        <v>4176</v>
      </c>
      <c r="H234">
        <v>809.28599999999994</v>
      </c>
      <c r="I234" s="5">
        <f t="shared" si="12"/>
        <v>117793.64640395675</v>
      </c>
      <c r="J234" s="5">
        <f t="shared" si="13"/>
        <v>28.207290805545199</v>
      </c>
      <c r="K234" s="76">
        <f t="shared" si="14"/>
        <v>3.5461834422440219E-2</v>
      </c>
      <c r="L234" s="77">
        <f t="shared" si="15"/>
        <v>5.1601040917549543</v>
      </c>
    </row>
    <row r="235" spans="1:12" x14ac:dyDescent="0.25">
      <c r="A235" t="s">
        <v>16</v>
      </c>
      <c r="B235" s="4">
        <v>447</v>
      </c>
      <c r="C235" t="s">
        <v>31</v>
      </c>
      <c r="D235" s="4" t="s">
        <v>17</v>
      </c>
      <c r="E235" s="78">
        <v>352247.68124566652</v>
      </c>
      <c r="F235" s="78">
        <v>1296.4843315454693</v>
      </c>
      <c r="G235">
        <v>2176</v>
      </c>
      <c r="H235">
        <v>2131.1200000000003</v>
      </c>
      <c r="I235" s="5">
        <f t="shared" si="12"/>
        <v>350951.19691412104</v>
      </c>
      <c r="J235" s="5">
        <f t="shared" si="13"/>
        <v>161.28271917009238</v>
      </c>
      <c r="K235" s="76">
        <f t="shared" si="14"/>
        <v>3.6806043036554954E-3</v>
      </c>
      <c r="L235" s="77">
        <f t="shared" si="15"/>
        <v>1.0210593490746649</v>
      </c>
    </row>
    <row r="236" spans="1:12" x14ac:dyDescent="0.25">
      <c r="A236" t="s">
        <v>16</v>
      </c>
      <c r="B236" s="4">
        <v>497</v>
      </c>
      <c r="C236" t="s">
        <v>31</v>
      </c>
      <c r="D236" s="4" t="s">
        <v>17</v>
      </c>
      <c r="E236" s="78">
        <v>57506.738109581565</v>
      </c>
      <c r="F236" s="78">
        <v>604.05927333441423</v>
      </c>
      <c r="G236">
        <v>836</v>
      </c>
      <c r="H236">
        <v>329.40799999999996</v>
      </c>
      <c r="I236" s="5">
        <f t="shared" si="12"/>
        <v>56902.678836247149</v>
      </c>
      <c r="J236" s="5">
        <f t="shared" si="13"/>
        <v>68.065405306515729</v>
      </c>
      <c r="K236" s="76">
        <f t="shared" si="14"/>
        <v>1.0504147743232337E-2</v>
      </c>
      <c r="L236" s="77">
        <f t="shared" si="15"/>
        <v>2.537886147270255</v>
      </c>
    </row>
    <row r="237" spans="1:12" x14ac:dyDescent="0.25">
      <c r="A237" t="s">
        <v>16</v>
      </c>
      <c r="B237" s="4">
        <v>499</v>
      </c>
      <c r="C237" t="s">
        <v>31</v>
      </c>
      <c r="D237" s="4" t="s">
        <v>17</v>
      </c>
      <c r="E237" s="78">
        <v>59815.242786760769</v>
      </c>
      <c r="F237" s="78">
        <v>365.37162530242597</v>
      </c>
      <c r="G237">
        <v>622</v>
      </c>
      <c r="H237">
        <v>321.60399999999998</v>
      </c>
      <c r="I237" s="5">
        <f t="shared" si="12"/>
        <v>59449.871161458344</v>
      </c>
      <c r="J237" s="5">
        <f t="shared" si="13"/>
        <v>95.57857099912917</v>
      </c>
      <c r="K237" s="76">
        <f t="shared" si="14"/>
        <v>6.1083364085800489E-3</v>
      </c>
      <c r="L237" s="77">
        <f t="shared" si="15"/>
        <v>1.934055546572804</v>
      </c>
    </row>
    <row r="238" spans="1:12" x14ac:dyDescent="0.25">
      <c r="A238" t="s">
        <v>16</v>
      </c>
      <c r="B238" s="4">
        <v>420</v>
      </c>
      <c r="C238" t="s">
        <v>31</v>
      </c>
      <c r="D238" s="4" t="s">
        <v>18</v>
      </c>
      <c r="E238" s="78">
        <v>93886.032140906667</v>
      </c>
      <c r="F238" s="78">
        <v>431.04161832512273</v>
      </c>
      <c r="G238">
        <v>462</v>
      </c>
      <c r="H238">
        <v>580.46399999999983</v>
      </c>
      <c r="I238" s="5">
        <f t="shared" si="12"/>
        <v>93454.990522581546</v>
      </c>
      <c r="J238" s="5">
        <f t="shared" si="13"/>
        <v>202.28352926965704</v>
      </c>
      <c r="K238" s="76">
        <f t="shared" si="14"/>
        <v>4.5911155099003856E-3</v>
      </c>
      <c r="L238" s="77">
        <f t="shared" si="15"/>
        <v>0.7959149921442159</v>
      </c>
    </row>
    <row r="239" spans="1:12" x14ac:dyDescent="0.25">
      <c r="A239" t="s">
        <v>16</v>
      </c>
      <c r="B239" s="4">
        <v>440</v>
      </c>
      <c r="C239" t="s">
        <v>31</v>
      </c>
      <c r="D239" s="4" t="s">
        <v>18</v>
      </c>
      <c r="E239" s="78">
        <v>140721.34128604011</v>
      </c>
      <c r="F239" s="78">
        <v>1587.7272111604427</v>
      </c>
      <c r="G239">
        <v>1564</v>
      </c>
      <c r="H239">
        <v>855.33600000000001</v>
      </c>
      <c r="I239" s="5">
        <f t="shared" si="12"/>
        <v>139133.61407487968</v>
      </c>
      <c r="J239" s="5">
        <f t="shared" si="13"/>
        <v>88.960111301073965</v>
      </c>
      <c r="K239" s="76">
        <f t="shared" si="14"/>
        <v>1.1282774855969548E-2</v>
      </c>
      <c r="L239" s="77">
        <f t="shared" si="15"/>
        <v>1.8285211893337823</v>
      </c>
    </row>
    <row r="240" spans="1:12" x14ac:dyDescent="0.25">
      <c r="A240" t="s">
        <v>16</v>
      </c>
      <c r="B240" s="4">
        <v>442</v>
      </c>
      <c r="C240" t="s">
        <v>31</v>
      </c>
      <c r="D240" s="4" t="s">
        <v>18</v>
      </c>
      <c r="E240" s="78">
        <v>260384.88259045687</v>
      </c>
      <c r="F240" s="78">
        <v>3639.6472096238103</v>
      </c>
      <c r="G240">
        <v>3995</v>
      </c>
      <c r="H240">
        <v>1624.5959999999984</v>
      </c>
      <c r="I240" s="5">
        <f t="shared" si="12"/>
        <v>256745.23538083307</v>
      </c>
      <c r="J240" s="5">
        <f t="shared" si="13"/>
        <v>64.266642147893137</v>
      </c>
      <c r="K240" s="76">
        <f t="shared" si="14"/>
        <v>1.3977951305830547E-2</v>
      </c>
      <c r="L240" s="77">
        <f t="shared" si="15"/>
        <v>2.4590729018168234</v>
      </c>
    </row>
    <row r="241" spans="1:12" x14ac:dyDescent="0.25">
      <c r="A241" t="s">
        <v>16</v>
      </c>
      <c r="B241" s="4">
        <v>444</v>
      </c>
      <c r="C241" t="s">
        <v>31</v>
      </c>
      <c r="D241" s="4" t="s">
        <v>18</v>
      </c>
      <c r="E241" s="78">
        <v>232286.43806838803</v>
      </c>
      <c r="F241" s="78">
        <v>11888.602341355218</v>
      </c>
      <c r="G241">
        <v>10901</v>
      </c>
      <c r="H241">
        <v>1388.8680000000002</v>
      </c>
      <c r="I241" s="5">
        <f t="shared" si="12"/>
        <v>220397.8357270328</v>
      </c>
      <c r="J241" s="5">
        <f t="shared" si="13"/>
        <v>20.218130054768626</v>
      </c>
      <c r="K241" s="76">
        <f t="shared" si="14"/>
        <v>5.1180785413976963E-2</v>
      </c>
      <c r="L241" s="77">
        <f t="shared" si="15"/>
        <v>7.8488380465242189</v>
      </c>
    </row>
    <row r="242" spans="1:12" x14ac:dyDescent="0.25">
      <c r="A242" t="s">
        <v>16</v>
      </c>
      <c r="B242" s="4">
        <v>445</v>
      </c>
      <c r="C242" t="s">
        <v>31</v>
      </c>
      <c r="D242" s="4" t="s">
        <v>18</v>
      </c>
      <c r="E242" s="78">
        <v>133635.34312027603</v>
      </c>
      <c r="F242" s="78">
        <v>3652.5476391814186</v>
      </c>
      <c r="G242">
        <v>3709</v>
      </c>
      <c r="H242">
        <v>885.39599999999984</v>
      </c>
      <c r="I242" s="5">
        <f t="shared" si="12"/>
        <v>129982.79548109461</v>
      </c>
      <c r="J242" s="5">
        <f t="shared" si="13"/>
        <v>35.045240086571745</v>
      </c>
      <c r="K242" s="76">
        <f t="shared" si="14"/>
        <v>2.7332197859469037E-2</v>
      </c>
      <c r="L242" s="77">
        <f t="shared" si="15"/>
        <v>4.1890860134900096</v>
      </c>
    </row>
    <row r="243" spans="1:12" x14ac:dyDescent="0.25">
      <c r="A243" t="s">
        <v>16</v>
      </c>
      <c r="B243" s="4">
        <v>447</v>
      </c>
      <c r="C243" t="s">
        <v>31</v>
      </c>
      <c r="D243" s="4" t="s">
        <v>18</v>
      </c>
      <c r="E243" s="78">
        <v>381335.12120097282</v>
      </c>
      <c r="F243" s="78">
        <v>1135.3249650156295</v>
      </c>
      <c r="G243">
        <v>1878</v>
      </c>
      <c r="H243">
        <v>2306.6240000000003</v>
      </c>
      <c r="I243" s="5">
        <f t="shared" si="12"/>
        <v>380199.79623595718</v>
      </c>
      <c r="J243" s="5">
        <f t="shared" si="13"/>
        <v>202.44930576994525</v>
      </c>
      <c r="K243" s="76">
        <f t="shared" si="14"/>
        <v>2.9772368237157096E-3</v>
      </c>
      <c r="L243" s="77">
        <f t="shared" si="15"/>
        <v>0.81417690963069833</v>
      </c>
    </row>
    <row r="244" spans="1:12" x14ac:dyDescent="0.25">
      <c r="A244" t="s">
        <v>16</v>
      </c>
      <c r="B244" s="4">
        <v>497</v>
      </c>
      <c r="C244" t="s">
        <v>31</v>
      </c>
      <c r="D244" s="4" t="s">
        <v>18</v>
      </c>
      <c r="E244" s="78">
        <v>62954.089735019777</v>
      </c>
      <c r="F244" s="78">
        <v>1063.9396197205292</v>
      </c>
      <c r="G244">
        <v>706</v>
      </c>
      <c r="H244">
        <v>360.59199999999993</v>
      </c>
      <c r="I244" s="5">
        <f t="shared" si="12"/>
        <v>61890.15011529925</v>
      </c>
      <c r="J244" s="5">
        <f t="shared" si="13"/>
        <v>87.66310214631622</v>
      </c>
      <c r="K244" s="76">
        <f t="shared" si="14"/>
        <v>1.6900246261978533E-2</v>
      </c>
      <c r="L244" s="77">
        <f t="shared" si="15"/>
        <v>1.9578914673647783</v>
      </c>
    </row>
    <row r="245" spans="1:12" x14ac:dyDescent="0.25">
      <c r="A245" t="s">
        <v>16</v>
      </c>
      <c r="B245" s="4">
        <v>499</v>
      </c>
      <c r="C245" t="s">
        <v>31</v>
      </c>
      <c r="D245" s="4" t="s">
        <v>18</v>
      </c>
      <c r="E245" s="78">
        <v>65468.403936860079</v>
      </c>
      <c r="F245" s="78">
        <v>482.04772755185849</v>
      </c>
      <c r="G245">
        <v>548</v>
      </c>
      <c r="H245">
        <v>351.94399999999996</v>
      </c>
      <c r="I245" s="5">
        <f t="shared" si="12"/>
        <v>64986.356209308222</v>
      </c>
      <c r="J245" s="5">
        <f t="shared" si="13"/>
        <v>118.58824125786172</v>
      </c>
      <c r="K245" s="76">
        <f t="shared" si="14"/>
        <v>7.3630591027812661E-3</v>
      </c>
      <c r="L245" s="77">
        <f t="shared" si="15"/>
        <v>1.557065896847226</v>
      </c>
    </row>
    <row r="246" spans="1:12" x14ac:dyDescent="0.25">
      <c r="A246" t="s">
        <v>79</v>
      </c>
      <c r="B246" s="4">
        <v>501</v>
      </c>
      <c r="C246" t="s">
        <v>31</v>
      </c>
      <c r="D246" s="4" t="s">
        <v>14</v>
      </c>
      <c r="E246" s="5">
        <v>2798.3581269341412</v>
      </c>
      <c r="F246" s="75">
        <v>36.832145851314692</v>
      </c>
      <c r="G246" s="6">
        <v>24.430961058794352</v>
      </c>
      <c r="H246" s="7">
        <v>6.660000000000001</v>
      </c>
      <c r="I246" s="5">
        <f t="shared" si="12"/>
        <v>2761.5259810828265</v>
      </c>
      <c r="J246" s="5">
        <f t="shared" si="13"/>
        <v>113.03386610281412</v>
      </c>
      <c r="K246" s="76">
        <f t="shared" si="14"/>
        <v>1.3162055812944749E-2</v>
      </c>
      <c r="L246" s="77">
        <f t="shared" si="15"/>
        <v>3.6683124712904429</v>
      </c>
    </row>
    <row r="247" spans="1:12" x14ac:dyDescent="0.25">
      <c r="A247" t="s">
        <v>79</v>
      </c>
      <c r="B247" s="4">
        <v>515</v>
      </c>
      <c r="C247" t="str">
        <f>VLOOKUP(B247,'[1]Route types'!A:B,2,FALSE)</f>
        <v>Suburban Local</v>
      </c>
      <c r="D247" s="4" t="s">
        <v>14</v>
      </c>
      <c r="E247" s="5">
        <v>3041033.052875259</v>
      </c>
      <c r="F247" s="75">
        <v>196795.66235429043</v>
      </c>
      <c r="G247" s="6">
        <v>210213.54889115051</v>
      </c>
      <c r="H247" s="7">
        <v>12156.75000000004</v>
      </c>
      <c r="I247" s="5">
        <f t="shared" si="12"/>
        <v>2844237.3905209685</v>
      </c>
      <c r="J247" s="5">
        <f t="shared" si="13"/>
        <v>13.530228691366259</v>
      </c>
      <c r="K247" s="76">
        <f t="shared" si="14"/>
        <v>6.4713424330663738E-2</v>
      </c>
      <c r="L247" s="77">
        <f t="shared" si="15"/>
        <v>17.291920035465878</v>
      </c>
    </row>
    <row r="248" spans="1:12" x14ac:dyDescent="0.25">
      <c r="A248" t="s">
        <v>79</v>
      </c>
      <c r="B248" s="4">
        <v>612</v>
      </c>
      <c r="C248" t="str">
        <f>VLOOKUP(B248,'[1]Route types'!A:B,2,FALSE)</f>
        <v>Suburban Local</v>
      </c>
      <c r="D248" s="4" t="s">
        <v>14</v>
      </c>
      <c r="E248" s="5">
        <v>2500756.8313015462</v>
      </c>
      <c r="F248" s="75">
        <v>128022.94128793885</v>
      </c>
      <c r="G248" s="6">
        <v>131213.38076829343</v>
      </c>
      <c r="H248" s="7">
        <v>10391.94000000003</v>
      </c>
      <c r="I248" s="5">
        <f t="shared" si="12"/>
        <v>2372733.8900136072</v>
      </c>
      <c r="J248" s="5">
        <f t="shared" si="13"/>
        <v>18.08301772365397</v>
      </c>
      <c r="K248" s="76">
        <f t="shared" si="14"/>
        <v>5.1193678523836286E-2</v>
      </c>
      <c r="L248" s="77">
        <f t="shared" si="15"/>
        <v>12.626456731687544</v>
      </c>
    </row>
    <row r="249" spans="1:12" x14ac:dyDescent="0.25">
      <c r="A249" t="s">
        <v>79</v>
      </c>
      <c r="B249" s="4">
        <v>721</v>
      </c>
      <c r="C249" t="str">
        <f>VLOOKUP(B249,'[1]Route types'!A:B,2,FALSE)</f>
        <v>Suburban Local</v>
      </c>
      <c r="D249" s="4" t="s">
        <v>14</v>
      </c>
      <c r="E249" s="5">
        <v>1512399.6514027757</v>
      </c>
      <c r="F249" s="75">
        <v>89644.176535202147</v>
      </c>
      <c r="G249" s="6">
        <v>87887.726869767153</v>
      </c>
      <c r="H249" s="7">
        <v>6634.1000000000258</v>
      </c>
      <c r="I249" s="5">
        <f t="shared" si="12"/>
        <v>1422755.4748675735</v>
      </c>
      <c r="J249" s="5">
        <f t="shared" si="13"/>
        <v>16.188329423695595</v>
      </c>
      <c r="K249" s="76">
        <f t="shared" si="14"/>
        <v>5.9272809572559537E-2</v>
      </c>
      <c r="L249" s="77">
        <f t="shared" si="15"/>
        <v>13.247874899348338</v>
      </c>
    </row>
    <row r="250" spans="1:12" x14ac:dyDescent="0.25">
      <c r="A250" t="s">
        <v>79</v>
      </c>
      <c r="B250" s="4">
        <v>722</v>
      </c>
      <c r="C250" t="str">
        <f>VLOOKUP(B250,'[1]Route types'!A:B,2,FALSE)</f>
        <v>Suburban Local</v>
      </c>
      <c r="D250" s="4" t="s">
        <v>14</v>
      </c>
      <c r="E250" s="5">
        <v>1421565.9284825483</v>
      </c>
      <c r="F250" s="75">
        <v>73710.762476576681</v>
      </c>
      <c r="G250" s="6">
        <v>95169.21548098608</v>
      </c>
      <c r="H250" s="7">
        <v>6063.1599999999744</v>
      </c>
      <c r="I250" s="5">
        <f t="shared" si="12"/>
        <v>1347855.1660059716</v>
      </c>
      <c r="J250" s="5">
        <f t="shared" si="13"/>
        <v>14.162722254185866</v>
      </c>
      <c r="K250" s="76">
        <f t="shared" si="14"/>
        <v>5.18518072216737E-2</v>
      </c>
      <c r="L250" s="77">
        <f t="shared" si="15"/>
        <v>15.696306130959183</v>
      </c>
    </row>
    <row r="251" spans="1:12" x14ac:dyDescent="0.25">
      <c r="A251" t="s">
        <v>79</v>
      </c>
      <c r="B251" s="4">
        <v>723</v>
      </c>
      <c r="C251" t="str">
        <f>VLOOKUP(B251,'[1]Route types'!A:B,2,FALSE)</f>
        <v>Suburban Local</v>
      </c>
      <c r="D251" s="4" t="s">
        <v>14</v>
      </c>
      <c r="E251" s="5">
        <v>1174840.7473577019</v>
      </c>
      <c r="F251" s="75">
        <v>45169.840695022787</v>
      </c>
      <c r="G251" s="6">
        <v>50151.451975213764</v>
      </c>
      <c r="H251" s="7">
        <v>5338.8400000000211</v>
      </c>
      <c r="I251" s="5">
        <f t="shared" si="12"/>
        <v>1129670.906662679</v>
      </c>
      <c r="J251" s="5">
        <f t="shared" si="13"/>
        <v>22.525188447604542</v>
      </c>
      <c r="K251" s="76">
        <f t="shared" si="14"/>
        <v>3.844762857996957E-2</v>
      </c>
      <c r="L251" s="77">
        <f t="shared" si="15"/>
        <v>9.3936982519074483</v>
      </c>
    </row>
    <row r="252" spans="1:12" x14ac:dyDescent="0.25">
      <c r="A252" t="s">
        <v>79</v>
      </c>
      <c r="B252" s="4">
        <v>724</v>
      </c>
      <c r="C252" t="str">
        <f>VLOOKUP(B252,'[1]Route types'!A:B,2,FALSE)</f>
        <v>Suburban Local</v>
      </c>
      <c r="D252" s="4" t="s">
        <v>14</v>
      </c>
      <c r="E252" s="5">
        <v>2048797.4468005819</v>
      </c>
      <c r="F252" s="75">
        <v>160332.9144405718</v>
      </c>
      <c r="G252" s="6">
        <v>180528.86898901712</v>
      </c>
      <c r="H252" s="7">
        <v>8022.47</v>
      </c>
      <c r="I252" s="5">
        <f t="shared" si="12"/>
        <v>1888464.5323600101</v>
      </c>
      <c r="J252" s="5">
        <f t="shared" si="13"/>
        <v>10.460734302140336</v>
      </c>
      <c r="K252" s="76">
        <f t="shared" si="14"/>
        <v>7.8257084267138718E-2</v>
      </c>
      <c r="L252" s="77">
        <f t="shared" si="15"/>
        <v>22.502903593159854</v>
      </c>
    </row>
    <row r="253" spans="1:12" x14ac:dyDescent="0.25">
      <c r="A253" t="s">
        <v>79</v>
      </c>
      <c r="B253" s="4">
        <v>515</v>
      </c>
      <c r="C253" t="str">
        <f>VLOOKUP(B253,'[1]Route types'!A:B,2,FALSE)</f>
        <v>Suburban Local</v>
      </c>
      <c r="D253" s="4" t="s">
        <v>17</v>
      </c>
      <c r="E253" s="5">
        <v>510880.36950697924</v>
      </c>
      <c r="F253" s="75">
        <v>28190.519559466597</v>
      </c>
      <c r="G253" s="6">
        <v>36548.717743956353</v>
      </c>
      <c r="H253" s="7">
        <v>1933.3500000000015</v>
      </c>
      <c r="I253" s="5">
        <f t="shared" si="12"/>
        <v>482689.84994751267</v>
      </c>
      <c r="J253" s="5">
        <f t="shared" si="13"/>
        <v>13.206751966758933</v>
      </c>
      <c r="K253" s="76">
        <f t="shared" si="14"/>
        <v>5.5180275544099724E-2</v>
      </c>
      <c r="L253" s="77">
        <f t="shared" si="15"/>
        <v>18.90434620940664</v>
      </c>
    </row>
    <row r="254" spans="1:12" x14ac:dyDescent="0.25">
      <c r="A254" t="s">
        <v>79</v>
      </c>
      <c r="B254" s="4">
        <v>612</v>
      </c>
      <c r="C254" t="str">
        <f>VLOOKUP(B254,'[1]Route types'!A:B,2,FALSE)</f>
        <v>Suburban Local</v>
      </c>
      <c r="D254" s="4" t="s">
        <v>17</v>
      </c>
      <c r="E254" s="5">
        <v>465420.95991159731</v>
      </c>
      <c r="F254" s="75">
        <v>18318.11332911484</v>
      </c>
      <c r="G254" s="6">
        <v>20086.498853121793</v>
      </c>
      <c r="H254" s="7">
        <v>1949.6200000000003</v>
      </c>
      <c r="I254" s="5">
        <f t="shared" si="12"/>
        <v>447102.84658248245</v>
      </c>
      <c r="J254" s="5">
        <f t="shared" si="13"/>
        <v>22.258873975590568</v>
      </c>
      <c r="K254" s="76">
        <f t="shared" si="14"/>
        <v>3.9358161550339735E-2</v>
      </c>
      <c r="L254" s="77">
        <f t="shared" si="15"/>
        <v>10.302776363148608</v>
      </c>
    </row>
    <row r="255" spans="1:12" x14ac:dyDescent="0.25">
      <c r="A255" t="s">
        <v>79</v>
      </c>
      <c r="B255" s="4">
        <v>721</v>
      </c>
      <c r="C255" t="str">
        <f>VLOOKUP(B255,'[1]Route types'!A:B,2,FALSE)</f>
        <v>Suburban Local</v>
      </c>
      <c r="D255" s="4" t="s">
        <v>17</v>
      </c>
      <c r="E255" s="5">
        <v>186756.85740466556</v>
      </c>
      <c r="F255" s="75">
        <v>8093.6487550098254</v>
      </c>
      <c r="G255" s="6">
        <v>10391.656175573267</v>
      </c>
      <c r="H255" s="7">
        <v>841.5</v>
      </c>
      <c r="I255" s="5">
        <f t="shared" si="12"/>
        <v>178663.20864965572</v>
      </c>
      <c r="J255" s="5">
        <f t="shared" si="13"/>
        <v>17.192948422372101</v>
      </c>
      <c r="K255" s="76">
        <f t="shared" si="14"/>
        <v>4.3337893277313362E-2</v>
      </c>
      <c r="L255" s="77">
        <f t="shared" si="15"/>
        <v>12.348967528904655</v>
      </c>
    </row>
    <row r="256" spans="1:12" x14ac:dyDescent="0.25">
      <c r="A256" t="s">
        <v>79</v>
      </c>
      <c r="B256" s="4">
        <v>722</v>
      </c>
      <c r="C256" t="str">
        <f>VLOOKUP(B256,'[1]Route types'!A:B,2,FALSE)</f>
        <v>Suburban Local</v>
      </c>
      <c r="D256" s="4" t="s">
        <v>17</v>
      </c>
      <c r="E256" s="5">
        <v>281716.11297870503</v>
      </c>
      <c r="F256" s="75">
        <v>11081.391607731173</v>
      </c>
      <c r="G256" s="6">
        <v>15926.862178937499</v>
      </c>
      <c r="H256" s="7">
        <v>1154.7300000000005</v>
      </c>
      <c r="I256" s="5">
        <f t="shared" si="12"/>
        <v>270634.72137097386</v>
      </c>
      <c r="J256" s="5">
        <f t="shared" si="13"/>
        <v>16.992344024228146</v>
      </c>
      <c r="K256" s="76">
        <f t="shared" si="14"/>
        <v>3.933531344928367E-2</v>
      </c>
      <c r="L256" s="77">
        <f t="shared" si="15"/>
        <v>13.792715335132449</v>
      </c>
    </row>
    <row r="257" spans="1:12" x14ac:dyDescent="0.25">
      <c r="A257" t="s">
        <v>79</v>
      </c>
      <c r="B257" s="4">
        <v>723</v>
      </c>
      <c r="C257" t="str">
        <f>VLOOKUP(B257,'[1]Route types'!A:B,2,FALSE)</f>
        <v>Suburban Local</v>
      </c>
      <c r="D257" s="4" t="s">
        <v>17</v>
      </c>
      <c r="E257" s="5">
        <v>102490.27551564814</v>
      </c>
      <c r="F257" s="75">
        <v>4621.8049781069221</v>
      </c>
      <c r="G257" s="6">
        <v>5347.1938247813378</v>
      </c>
      <c r="H257" s="7">
        <v>438.75000000000023</v>
      </c>
      <c r="I257" s="5">
        <f t="shared" si="12"/>
        <v>97868.470537541216</v>
      </c>
      <c r="J257" s="5">
        <f t="shared" si="13"/>
        <v>18.302772209971899</v>
      </c>
      <c r="K257" s="76">
        <f t="shared" si="14"/>
        <v>4.509505857852112E-2</v>
      </c>
      <c r="L257" s="77">
        <f t="shared" si="15"/>
        <v>12.187336352777972</v>
      </c>
    </row>
    <row r="258" spans="1:12" x14ac:dyDescent="0.25">
      <c r="A258" t="s">
        <v>79</v>
      </c>
      <c r="B258" s="4">
        <v>724</v>
      </c>
      <c r="C258" t="str">
        <f>VLOOKUP(B258,'[1]Route types'!A:B,2,FALSE)</f>
        <v>Suburban Local</v>
      </c>
      <c r="D258" s="4" t="s">
        <v>17</v>
      </c>
      <c r="E258" s="5">
        <v>302149.03670554666</v>
      </c>
      <c r="F258" s="75">
        <v>20108.563023418563</v>
      </c>
      <c r="G258" s="6">
        <v>27876.788783782566</v>
      </c>
      <c r="H258" s="7">
        <v>1145.9700000000009</v>
      </c>
      <c r="I258" s="5">
        <f t="shared" ref="I258:I299" si="16">E258-F258</f>
        <v>282040.47368212813</v>
      </c>
      <c r="J258" s="5">
        <f t="shared" ref="J258:J299" si="17">I258/G258</f>
        <v>10.117394649350944</v>
      </c>
      <c r="K258" s="76">
        <f t="shared" ref="K258:K299" si="18">F258/E258</f>
        <v>6.6551802523252671E-2</v>
      </c>
      <c r="L258" s="77">
        <f t="shared" ref="L258:L299" si="19">G258/H258</f>
        <v>24.325932427360701</v>
      </c>
    </row>
    <row r="259" spans="1:12" x14ac:dyDescent="0.25">
      <c r="A259" t="s">
        <v>79</v>
      </c>
      <c r="B259" s="4">
        <v>515</v>
      </c>
      <c r="C259" t="str">
        <f>VLOOKUP(B259,'[1]Route types'!A:B,2,FALSE)</f>
        <v>Suburban Local</v>
      </c>
      <c r="D259" s="4" t="s">
        <v>18</v>
      </c>
      <c r="E259" s="5">
        <v>462969.53273373324</v>
      </c>
      <c r="F259" s="75">
        <v>21586.999395852341</v>
      </c>
      <c r="G259" s="6">
        <v>27587.866113869863</v>
      </c>
      <c r="H259" s="7">
        <v>1761.9499999999982</v>
      </c>
      <c r="I259" s="5">
        <f t="shared" si="16"/>
        <v>441382.53333788092</v>
      </c>
      <c r="J259" s="5">
        <f t="shared" si="17"/>
        <v>15.999154538305334</v>
      </c>
      <c r="K259" s="76">
        <f t="shared" si="18"/>
        <v>4.6627257021398055E-2</v>
      </c>
      <c r="L259" s="77">
        <f t="shared" si="19"/>
        <v>15.657576045784438</v>
      </c>
    </row>
    <row r="260" spans="1:12" x14ac:dyDescent="0.25">
      <c r="A260" t="s">
        <v>79</v>
      </c>
      <c r="B260" s="4">
        <v>612</v>
      </c>
      <c r="C260" t="str">
        <f>VLOOKUP(B260,'[1]Route types'!A:B,2,FALSE)</f>
        <v>Suburban Local</v>
      </c>
      <c r="D260" s="4" t="s">
        <v>18</v>
      </c>
      <c r="E260" s="5">
        <v>330086.79690614331</v>
      </c>
      <c r="F260" s="75">
        <v>10811.510021043665</v>
      </c>
      <c r="G260" s="6">
        <v>13199.092265938199</v>
      </c>
      <c r="H260" s="7">
        <v>1326.5000000000014</v>
      </c>
      <c r="I260" s="5">
        <f t="shared" si="16"/>
        <v>319275.28688509966</v>
      </c>
      <c r="J260" s="5">
        <f t="shared" si="17"/>
        <v>24.189185169121583</v>
      </c>
      <c r="K260" s="76">
        <f t="shared" si="18"/>
        <v>3.2753536713308176E-2</v>
      </c>
      <c r="L260" s="77">
        <f t="shared" si="19"/>
        <v>9.9503145615817452</v>
      </c>
    </row>
    <row r="261" spans="1:12" x14ac:dyDescent="0.25">
      <c r="A261" t="s">
        <v>79</v>
      </c>
      <c r="B261" s="4">
        <v>721</v>
      </c>
      <c r="C261" t="str">
        <f>VLOOKUP(B261,'[1]Route types'!A:B,2,FALSE)</f>
        <v>Suburban Local</v>
      </c>
      <c r="D261" s="4" t="s">
        <v>18</v>
      </c>
      <c r="E261" s="5">
        <v>217902.0924174203</v>
      </c>
      <c r="F261" s="75">
        <v>6669.3841222701385</v>
      </c>
      <c r="G261" s="6">
        <v>9422.9154588071615</v>
      </c>
      <c r="H261" s="7">
        <v>940.5</v>
      </c>
      <c r="I261" s="5">
        <f t="shared" si="16"/>
        <v>211232.70829515017</v>
      </c>
      <c r="J261" s="5">
        <f t="shared" si="17"/>
        <v>22.416916422371248</v>
      </c>
      <c r="K261" s="76">
        <f t="shared" si="18"/>
        <v>3.0607251395705051E-2</v>
      </c>
      <c r="L261" s="77">
        <f t="shared" si="19"/>
        <v>10.019048866355302</v>
      </c>
    </row>
    <row r="262" spans="1:12" x14ac:dyDescent="0.25">
      <c r="A262" t="s">
        <v>79</v>
      </c>
      <c r="B262" s="4">
        <v>722</v>
      </c>
      <c r="C262" t="str">
        <f>VLOOKUP(B262,'[1]Route types'!A:B,2,FALSE)</f>
        <v>Suburban Local</v>
      </c>
      <c r="D262" s="4" t="s">
        <v>18</v>
      </c>
      <c r="E262" s="5">
        <v>283661.87193363172</v>
      </c>
      <c r="F262" s="75">
        <v>8382.7413530226622</v>
      </c>
      <c r="G262" s="6">
        <v>12276.026824195058</v>
      </c>
      <c r="H262" s="7">
        <v>1206.1899999999998</v>
      </c>
      <c r="I262" s="5">
        <f t="shared" si="16"/>
        <v>275279.13058060908</v>
      </c>
      <c r="J262" s="5">
        <f t="shared" si="17"/>
        <v>22.42412260276722</v>
      </c>
      <c r="K262" s="76">
        <f t="shared" si="18"/>
        <v>2.9551879129472748E-2</v>
      </c>
      <c r="L262" s="77">
        <f t="shared" si="19"/>
        <v>10.177523295828236</v>
      </c>
    </row>
    <row r="263" spans="1:12" x14ac:dyDescent="0.25">
      <c r="A263" t="s">
        <v>79</v>
      </c>
      <c r="B263" s="4">
        <v>723</v>
      </c>
      <c r="C263" t="str">
        <f>VLOOKUP(B263,'[1]Route types'!A:B,2,FALSE)</f>
        <v>Suburban Local</v>
      </c>
      <c r="D263" s="4" t="s">
        <v>18</v>
      </c>
      <c r="E263" s="5">
        <v>101910.96628937052</v>
      </c>
      <c r="F263" s="75">
        <v>3302.1906734402833</v>
      </c>
      <c r="G263" s="6">
        <v>3856.9052001948821</v>
      </c>
      <c r="H263" s="7">
        <v>442.56999999999971</v>
      </c>
      <c r="I263" s="5">
        <f t="shared" si="16"/>
        <v>98608.775615930237</v>
      </c>
      <c r="J263" s="5">
        <f t="shared" si="17"/>
        <v>25.56681341583084</v>
      </c>
      <c r="K263" s="76">
        <f t="shared" si="18"/>
        <v>3.2402702021918785E-2</v>
      </c>
      <c r="L263" s="77">
        <f t="shared" si="19"/>
        <v>8.714791332884932</v>
      </c>
    </row>
    <row r="264" spans="1:12" x14ac:dyDescent="0.25">
      <c r="A264" t="s">
        <v>79</v>
      </c>
      <c r="B264" s="4">
        <v>724</v>
      </c>
      <c r="C264" t="str">
        <f>VLOOKUP(B264,'[1]Route types'!A:B,2,FALSE)</f>
        <v>Suburban Local</v>
      </c>
      <c r="D264" s="4" t="s">
        <v>18</v>
      </c>
      <c r="E264" s="5">
        <v>315528.78877912211</v>
      </c>
      <c r="F264" s="75">
        <v>15894.329587308426</v>
      </c>
      <c r="G264" s="6">
        <v>24198.335820886703</v>
      </c>
      <c r="H264" s="7">
        <v>1187.3100000000002</v>
      </c>
      <c r="I264" s="5">
        <f t="shared" si="16"/>
        <v>299634.45919181372</v>
      </c>
      <c r="J264" s="5">
        <f t="shared" si="17"/>
        <v>12.382440735167638</v>
      </c>
      <c r="K264" s="76">
        <f t="shared" si="18"/>
        <v>5.0373627233218476E-2</v>
      </c>
      <c r="L264" s="77">
        <f t="shared" si="19"/>
        <v>20.380806883532269</v>
      </c>
    </row>
    <row r="265" spans="1:12" x14ac:dyDescent="0.25">
      <c r="A265" t="s">
        <v>15</v>
      </c>
      <c r="B265" s="4">
        <v>16</v>
      </c>
      <c r="C265" t="s">
        <v>29</v>
      </c>
      <c r="D265" s="4" t="s">
        <v>14</v>
      </c>
      <c r="E265" s="5">
        <v>741688</v>
      </c>
      <c r="F265" s="75">
        <v>34257.246000000086</v>
      </c>
      <c r="G265" s="6">
        <v>42450</v>
      </c>
      <c r="H265" s="7">
        <v>7390</v>
      </c>
      <c r="I265" s="5">
        <f t="shared" si="16"/>
        <v>707430.75399999996</v>
      </c>
      <c r="J265" s="5">
        <f t="shared" si="17"/>
        <v>16.665035429917548</v>
      </c>
      <c r="K265" s="76">
        <f t="shared" si="18"/>
        <v>4.6188216608601035E-2</v>
      </c>
      <c r="L265" s="77">
        <f t="shared" si="19"/>
        <v>5.7442489851150205</v>
      </c>
    </row>
    <row r="266" spans="1:12" x14ac:dyDescent="0.25">
      <c r="A266" t="s">
        <v>15</v>
      </c>
      <c r="B266" s="4">
        <v>27</v>
      </c>
      <c r="C266" t="s">
        <v>29</v>
      </c>
      <c r="D266" s="4" t="s">
        <v>14</v>
      </c>
      <c r="E266" s="5">
        <v>254494</v>
      </c>
      <c r="F266" s="75">
        <v>4003.3709999999992</v>
      </c>
      <c r="G266" s="6">
        <v>5381</v>
      </c>
      <c r="H266" s="7">
        <v>2808</v>
      </c>
      <c r="I266" s="5">
        <f t="shared" si="16"/>
        <v>250490.62900000002</v>
      </c>
      <c r="J266" s="5">
        <f t="shared" si="17"/>
        <v>46.550943876602865</v>
      </c>
      <c r="K266" s="76">
        <f t="shared" si="18"/>
        <v>1.5730708778988894E-2</v>
      </c>
      <c r="L266" s="77">
        <f t="shared" si="19"/>
        <v>1.9163105413105412</v>
      </c>
    </row>
    <row r="267" spans="1:12" x14ac:dyDescent="0.25">
      <c r="A267" t="s">
        <v>15</v>
      </c>
      <c r="B267" s="4">
        <v>30</v>
      </c>
      <c r="C267" t="s">
        <v>29</v>
      </c>
      <c r="D267" s="4" t="s">
        <v>14</v>
      </c>
      <c r="E267" s="5">
        <v>870297.25172606832</v>
      </c>
      <c r="F267" s="75">
        <v>55379.749999999993</v>
      </c>
      <c r="G267" s="6">
        <v>57878</v>
      </c>
      <c r="H267" s="7">
        <v>8962</v>
      </c>
      <c r="I267" s="5">
        <f t="shared" si="16"/>
        <v>814917.50172606832</v>
      </c>
      <c r="J267" s="5">
        <f t="shared" si="17"/>
        <v>14.079918133419751</v>
      </c>
      <c r="K267" s="76">
        <f t="shared" si="18"/>
        <v>6.3633143607158174E-2</v>
      </c>
      <c r="L267" s="77">
        <f t="shared" si="19"/>
        <v>6.4581566614594959</v>
      </c>
    </row>
    <row r="268" spans="1:12" x14ac:dyDescent="0.25">
      <c r="A268" t="s">
        <v>15</v>
      </c>
      <c r="B268" s="4">
        <v>33</v>
      </c>
      <c r="C268" t="s">
        <v>29</v>
      </c>
      <c r="D268" s="4" t="s">
        <v>14</v>
      </c>
      <c r="E268" s="5">
        <v>27353</v>
      </c>
      <c r="F268" s="75">
        <v>1762.6639999999993</v>
      </c>
      <c r="G268" s="6">
        <v>2426</v>
      </c>
      <c r="H268" s="7">
        <v>259</v>
      </c>
      <c r="I268" s="5">
        <f t="shared" si="16"/>
        <v>25590.335999999999</v>
      </c>
      <c r="J268" s="5">
        <f t="shared" si="17"/>
        <v>10.548366034624896</v>
      </c>
      <c r="K268" s="76">
        <f t="shared" si="18"/>
        <v>6.4441340986363449E-2</v>
      </c>
      <c r="L268" s="77">
        <f t="shared" si="19"/>
        <v>9.3667953667953672</v>
      </c>
    </row>
    <row r="269" spans="1:12" x14ac:dyDescent="0.25">
      <c r="A269" t="s">
        <v>15</v>
      </c>
      <c r="B269" s="4">
        <v>80</v>
      </c>
      <c r="C269" t="s">
        <v>29</v>
      </c>
      <c r="D269" s="4" t="s">
        <v>14</v>
      </c>
      <c r="E269" s="5">
        <v>344622</v>
      </c>
      <c r="F269" s="75">
        <v>47797.950000000055</v>
      </c>
      <c r="G269" s="6">
        <v>46530</v>
      </c>
      <c r="H269" s="7">
        <v>3539</v>
      </c>
      <c r="I269" s="5">
        <f t="shared" si="16"/>
        <v>296824.04999999993</v>
      </c>
      <c r="J269" s="5">
        <f t="shared" si="17"/>
        <v>6.3791972920696312</v>
      </c>
      <c r="K269" s="76">
        <f t="shared" si="18"/>
        <v>0.13869674599996534</v>
      </c>
      <c r="L269" s="77">
        <f t="shared" si="19"/>
        <v>13.147781859282283</v>
      </c>
    </row>
    <row r="270" spans="1:12" x14ac:dyDescent="0.25">
      <c r="A270" t="s">
        <v>15</v>
      </c>
      <c r="B270" s="4">
        <v>83</v>
      </c>
      <c r="C270" t="s">
        <v>29</v>
      </c>
      <c r="D270" s="4" t="s">
        <v>14</v>
      </c>
      <c r="E270" s="5">
        <v>637234</v>
      </c>
      <c r="F270" s="75">
        <v>33797.533000000032</v>
      </c>
      <c r="G270" s="6">
        <v>39669</v>
      </c>
      <c r="H270" s="7">
        <v>7330</v>
      </c>
      <c r="I270" s="5">
        <f t="shared" si="16"/>
        <v>603436.46699999995</v>
      </c>
      <c r="J270" s="5">
        <f t="shared" si="17"/>
        <v>15.211789230885577</v>
      </c>
      <c r="K270" s="76">
        <f t="shared" si="18"/>
        <v>5.3037868349774232E-2</v>
      </c>
      <c r="L270" s="77">
        <f t="shared" si="19"/>
        <v>5.4118690313778988</v>
      </c>
    </row>
    <row r="271" spans="1:12" x14ac:dyDescent="0.25">
      <c r="A271" t="s">
        <v>15</v>
      </c>
      <c r="B271" s="4">
        <v>84</v>
      </c>
      <c r="C271" t="s">
        <v>29</v>
      </c>
      <c r="D271" s="4" t="s">
        <v>14</v>
      </c>
      <c r="E271" s="5">
        <v>678735</v>
      </c>
      <c r="F271" s="75">
        <v>43308.388000000006</v>
      </c>
      <c r="G271" s="6">
        <v>43762</v>
      </c>
      <c r="H271" s="7">
        <v>7379</v>
      </c>
      <c r="I271" s="5">
        <f t="shared" si="16"/>
        <v>635426.61199999996</v>
      </c>
      <c r="J271" s="5">
        <f t="shared" si="17"/>
        <v>14.520054202275947</v>
      </c>
      <c r="K271" s="76">
        <f t="shared" si="18"/>
        <v>6.3807506611564174E-2</v>
      </c>
      <c r="L271" s="77">
        <f t="shared" si="19"/>
        <v>5.9306139043230788</v>
      </c>
    </row>
    <row r="272" spans="1:12" x14ac:dyDescent="0.25">
      <c r="A272" t="s">
        <v>15</v>
      </c>
      <c r="B272" s="4">
        <v>87</v>
      </c>
      <c r="C272" t="s">
        <v>29</v>
      </c>
      <c r="D272" s="4" t="s">
        <v>14</v>
      </c>
      <c r="E272" s="5">
        <v>1142170</v>
      </c>
      <c r="F272" s="75">
        <v>104495.26499999959</v>
      </c>
      <c r="G272" s="6">
        <v>93428</v>
      </c>
      <c r="H272" s="7">
        <v>12084</v>
      </c>
      <c r="I272" s="5">
        <f t="shared" si="16"/>
        <v>1037674.7350000005</v>
      </c>
      <c r="J272" s="5">
        <f t="shared" si="17"/>
        <v>11.10667824420945</v>
      </c>
      <c r="K272" s="76">
        <f t="shared" si="18"/>
        <v>9.1488364254007359E-2</v>
      </c>
      <c r="L272" s="77">
        <f t="shared" si="19"/>
        <v>7.7315458457464414</v>
      </c>
    </row>
    <row r="273" spans="1:12" x14ac:dyDescent="0.25">
      <c r="A273" t="s">
        <v>15</v>
      </c>
      <c r="B273" s="4">
        <v>16</v>
      </c>
      <c r="C273" t="s">
        <v>29</v>
      </c>
      <c r="D273" s="4" t="s">
        <v>17</v>
      </c>
      <c r="E273" s="5">
        <v>151118</v>
      </c>
      <c r="F273" s="75">
        <v>4804.7409999999982</v>
      </c>
      <c r="G273" s="6">
        <v>7009</v>
      </c>
      <c r="H273" s="7">
        <v>1376</v>
      </c>
      <c r="I273" s="5">
        <f t="shared" si="16"/>
        <v>146313.25899999999</v>
      </c>
      <c r="J273" s="5">
        <f t="shared" si="17"/>
        <v>20.875054786702808</v>
      </c>
      <c r="K273" s="76">
        <f t="shared" si="18"/>
        <v>3.1794630685954013E-2</v>
      </c>
      <c r="L273" s="77">
        <f t="shared" si="19"/>
        <v>5.09375</v>
      </c>
    </row>
    <row r="274" spans="1:12" x14ac:dyDescent="0.25">
      <c r="A274" t="s">
        <v>15</v>
      </c>
      <c r="B274" s="4">
        <v>30</v>
      </c>
      <c r="C274" t="s">
        <v>29</v>
      </c>
      <c r="D274" s="4" t="s">
        <v>17</v>
      </c>
      <c r="E274" s="5">
        <v>153622.53130914617</v>
      </c>
      <c r="F274" s="75">
        <v>6796.1039999999985</v>
      </c>
      <c r="G274" s="6">
        <v>7945</v>
      </c>
      <c r="H274" s="7">
        <v>1617</v>
      </c>
      <c r="I274" s="5">
        <f t="shared" si="16"/>
        <v>146826.42730914618</v>
      </c>
      <c r="J274" s="5">
        <f t="shared" si="17"/>
        <v>18.480355860182023</v>
      </c>
      <c r="K274" s="76">
        <f t="shared" si="18"/>
        <v>4.4238979413271658E-2</v>
      </c>
      <c r="L274" s="77">
        <f t="shared" si="19"/>
        <v>4.9134199134199132</v>
      </c>
    </row>
    <row r="275" spans="1:12" x14ac:dyDescent="0.25">
      <c r="A275" t="s">
        <v>15</v>
      </c>
      <c r="B275" s="4">
        <v>33</v>
      </c>
      <c r="C275" t="s">
        <v>29</v>
      </c>
      <c r="D275" s="4" t="s">
        <v>17</v>
      </c>
      <c r="E275" s="5">
        <v>4459</v>
      </c>
      <c r="F275" s="75">
        <v>113.21100000000001</v>
      </c>
      <c r="G275" s="6">
        <v>140</v>
      </c>
      <c r="H275" s="7">
        <v>37</v>
      </c>
      <c r="I275" s="5">
        <f t="shared" si="16"/>
        <v>4345.7889999999998</v>
      </c>
      <c r="J275" s="5">
        <f t="shared" si="17"/>
        <v>31.041349999999998</v>
      </c>
      <c r="K275" s="76">
        <f t="shared" si="18"/>
        <v>2.5389324960753534E-2</v>
      </c>
      <c r="L275" s="77">
        <f t="shared" si="19"/>
        <v>3.7837837837837838</v>
      </c>
    </row>
    <row r="276" spans="1:12" x14ac:dyDescent="0.25">
      <c r="A276" t="s">
        <v>15</v>
      </c>
      <c r="B276" s="4">
        <v>80</v>
      </c>
      <c r="C276" t="s">
        <v>29</v>
      </c>
      <c r="D276" s="4" t="s">
        <v>17</v>
      </c>
      <c r="E276" s="5">
        <v>70590</v>
      </c>
      <c r="F276" s="75">
        <v>7512.9879999999957</v>
      </c>
      <c r="G276" s="6">
        <v>8169</v>
      </c>
      <c r="H276" s="7">
        <v>719</v>
      </c>
      <c r="I276" s="5">
        <f t="shared" si="16"/>
        <v>63077.012000000002</v>
      </c>
      <c r="J276" s="5">
        <f t="shared" si="17"/>
        <v>7.7215096094993267</v>
      </c>
      <c r="K276" s="76">
        <f t="shared" si="18"/>
        <v>0.10643133588326953</v>
      </c>
      <c r="L276" s="77">
        <f t="shared" si="19"/>
        <v>11.361613351877608</v>
      </c>
    </row>
    <row r="277" spans="1:12" x14ac:dyDescent="0.25">
      <c r="A277" t="s">
        <v>15</v>
      </c>
      <c r="B277" s="4">
        <v>83</v>
      </c>
      <c r="C277" t="s">
        <v>29</v>
      </c>
      <c r="D277" s="4" t="s">
        <v>17</v>
      </c>
      <c r="E277" s="5">
        <v>114203</v>
      </c>
      <c r="F277" s="75">
        <v>4886.280999999999</v>
      </c>
      <c r="G277" s="6">
        <v>5544</v>
      </c>
      <c r="H277" s="7">
        <v>1248</v>
      </c>
      <c r="I277" s="5">
        <f t="shared" si="16"/>
        <v>109316.719</v>
      </c>
      <c r="J277" s="5">
        <f t="shared" si="17"/>
        <v>19.718022907647907</v>
      </c>
      <c r="K277" s="76">
        <f t="shared" si="18"/>
        <v>4.2785925063264528E-2</v>
      </c>
      <c r="L277" s="77">
        <f t="shared" si="19"/>
        <v>4.4423076923076925</v>
      </c>
    </row>
    <row r="278" spans="1:12" x14ac:dyDescent="0.25">
      <c r="A278" t="s">
        <v>15</v>
      </c>
      <c r="B278" s="4">
        <v>84</v>
      </c>
      <c r="C278" t="s">
        <v>29</v>
      </c>
      <c r="D278" s="4" t="s">
        <v>17</v>
      </c>
      <c r="E278" s="5">
        <v>139161</v>
      </c>
      <c r="F278" s="75">
        <v>5876.3240000000042</v>
      </c>
      <c r="G278" s="6">
        <v>6622</v>
      </c>
      <c r="H278" s="7">
        <v>1424</v>
      </c>
      <c r="I278" s="5">
        <f t="shared" si="16"/>
        <v>133284.67600000001</v>
      </c>
      <c r="J278" s="5">
        <f t="shared" si="17"/>
        <v>20.12755602536998</v>
      </c>
      <c r="K278" s="76">
        <f t="shared" si="18"/>
        <v>4.2226802049424798E-2</v>
      </c>
      <c r="L278" s="77">
        <f t="shared" si="19"/>
        <v>4.6502808988764048</v>
      </c>
    </row>
    <row r="279" spans="1:12" x14ac:dyDescent="0.25">
      <c r="A279" t="s">
        <v>15</v>
      </c>
      <c r="B279" s="4">
        <v>87</v>
      </c>
      <c r="C279" t="s">
        <v>29</v>
      </c>
      <c r="D279" s="4" t="s">
        <v>17</v>
      </c>
      <c r="E279" s="5">
        <v>181216</v>
      </c>
      <c r="F279" s="75">
        <v>11751.280000000012</v>
      </c>
      <c r="G279" s="6">
        <v>12434</v>
      </c>
      <c r="H279" s="7">
        <v>1925</v>
      </c>
      <c r="I279" s="5">
        <f t="shared" si="16"/>
        <v>169464.72</v>
      </c>
      <c r="J279" s="5">
        <f t="shared" si="17"/>
        <v>13.629139456329419</v>
      </c>
      <c r="K279" s="76">
        <f t="shared" si="18"/>
        <v>6.4846812643475249E-2</v>
      </c>
      <c r="L279" s="77">
        <f t="shared" si="19"/>
        <v>6.4592207792207796</v>
      </c>
    </row>
    <row r="280" spans="1:12" x14ac:dyDescent="0.25">
      <c r="A280" t="s">
        <v>15</v>
      </c>
      <c r="B280" s="4">
        <v>16</v>
      </c>
      <c r="C280" t="s">
        <v>29</v>
      </c>
      <c r="D280" s="4" t="s">
        <v>70</v>
      </c>
      <c r="E280" s="5">
        <v>155656</v>
      </c>
      <c r="F280" s="75">
        <v>3946.3609999999976</v>
      </c>
      <c r="G280" s="6">
        <v>6057</v>
      </c>
      <c r="H280" s="7">
        <v>1363</v>
      </c>
      <c r="I280" s="5">
        <f t="shared" si="16"/>
        <v>151709.639</v>
      </c>
      <c r="J280" s="5">
        <f t="shared" si="17"/>
        <v>25.046993396070661</v>
      </c>
      <c r="K280" s="76">
        <f t="shared" si="18"/>
        <v>2.5353092717273974E-2</v>
      </c>
      <c r="L280" s="77">
        <f t="shared" si="19"/>
        <v>4.4438738077769626</v>
      </c>
    </row>
    <row r="281" spans="1:12" x14ac:dyDescent="0.25">
      <c r="A281" t="s">
        <v>15</v>
      </c>
      <c r="B281" s="4">
        <v>30</v>
      </c>
      <c r="C281" t="s">
        <v>29</v>
      </c>
      <c r="D281" s="4" t="s">
        <v>70</v>
      </c>
      <c r="E281" s="5">
        <v>165200.67403300188</v>
      </c>
      <c r="F281" s="75">
        <v>6157.6549999999979</v>
      </c>
      <c r="G281" s="6">
        <v>7630</v>
      </c>
      <c r="H281" s="7">
        <v>1739</v>
      </c>
      <c r="I281" s="5">
        <f t="shared" si="16"/>
        <v>159043.01903300188</v>
      </c>
      <c r="J281" s="5">
        <f t="shared" si="17"/>
        <v>20.844432376540219</v>
      </c>
      <c r="K281" s="76">
        <f t="shared" si="18"/>
        <v>3.7273788597072512E-2</v>
      </c>
      <c r="L281" s="77">
        <f t="shared" si="19"/>
        <v>4.3875790684301323</v>
      </c>
    </row>
    <row r="282" spans="1:12" x14ac:dyDescent="0.25">
      <c r="A282" t="s">
        <v>15</v>
      </c>
      <c r="B282" s="4">
        <v>67</v>
      </c>
      <c r="C282" t="s">
        <v>29</v>
      </c>
      <c r="D282" s="4" t="s">
        <v>70</v>
      </c>
      <c r="E282" s="5">
        <v>161058</v>
      </c>
      <c r="F282" s="75">
        <v>5297.6570000000011</v>
      </c>
      <c r="G282" s="6">
        <v>6786</v>
      </c>
      <c r="H282" s="7">
        <v>1676</v>
      </c>
      <c r="I282" s="5">
        <f t="shared" si="16"/>
        <v>155760.34299999999</v>
      </c>
      <c r="J282" s="5">
        <f t="shared" si="17"/>
        <v>22.953189360447979</v>
      </c>
      <c r="K282" s="76">
        <f t="shared" si="18"/>
        <v>3.2892852264401654E-2</v>
      </c>
      <c r="L282" s="77">
        <f t="shared" si="19"/>
        <v>4.0489260143198091</v>
      </c>
    </row>
    <row r="283" spans="1:12" x14ac:dyDescent="0.25">
      <c r="A283" t="s">
        <v>15</v>
      </c>
      <c r="B283" s="4">
        <v>80</v>
      </c>
      <c r="C283" t="s">
        <v>29</v>
      </c>
      <c r="D283" s="4" t="s">
        <v>70</v>
      </c>
      <c r="E283" s="5">
        <v>41060</v>
      </c>
      <c r="F283" s="75">
        <v>5269.239999999998</v>
      </c>
      <c r="G283" s="6">
        <v>5607</v>
      </c>
      <c r="H283" s="7">
        <v>419</v>
      </c>
      <c r="I283" s="5">
        <f t="shared" si="16"/>
        <v>35790.76</v>
      </c>
      <c r="J283" s="5">
        <f t="shared" si="17"/>
        <v>6.3832281077224904</v>
      </c>
      <c r="K283" s="76">
        <f t="shared" si="18"/>
        <v>0.12833024841695076</v>
      </c>
      <c r="L283" s="77">
        <f t="shared" si="19"/>
        <v>13.381861575178998</v>
      </c>
    </row>
    <row r="284" spans="1:12" x14ac:dyDescent="0.25">
      <c r="A284" t="s">
        <v>15</v>
      </c>
      <c r="B284" s="4">
        <v>83</v>
      </c>
      <c r="C284" t="s">
        <v>29</v>
      </c>
      <c r="D284" s="4" t="s">
        <v>70</v>
      </c>
      <c r="E284" s="5">
        <v>122788</v>
      </c>
      <c r="F284" s="75">
        <v>4126.6689999999981</v>
      </c>
      <c r="G284" s="6">
        <v>5159</v>
      </c>
      <c r="H284" s="7">
        <v>1331</v>
      </c>
      <c r="I284" s="5">
        <f t="shared" si="16"/>
        <v>118661.33100000001</v>
      </c>
      <c r="J284" s="5">
        <f t="shared" si="17"/>
        <v>23.000839503779805</v>
      </c>
      <c r="K284" s="76">
        <f t="shared" si="18"/>
        <v>3.3608080594194858E-2</v>
      </c>
      <c r="L284" s="77">
        <f t="shared" si="19"/>
        <v>3.8760330578512399</v>
      </c>
    </row>
    <row r="285" spans="1:12" x14ac:dyDescent="0.25">
      <c r="A285" t="s">
        <v>15</v>
      </c>
      <c r="B285" s="4">
        <v>84</v>
      </c>
      <c r="C285" t="s">
        <v>29</v>
      </c>
      <c r="D285" s="4" t="s">
        <v>70</v>
      </c>
      <c r="E285" s="5">
        <v>112582</v>
      </c>
      <c r="F285" s="75">
        <v>3551.221999999997</v>
      </c>
      <c r="G285" s="6">
        <v>4879</v>
      </c>
      <c r="H285" s="7">
        <v>1114</v>
      </c>
      <c r="I285" s="5">
        <f t="shared" si="16"/>
        <v>109030.77800000001</v>
      </c>
      <c r="J285" s="5">
        <f t="shared" si="17"/>
        <v>22.346951834392296</v>
      </c>
      <c r="K285" s="76">
        <f t="shared" si="18"/>
        <v>3.154342612495778E-2</v>
      </c>
      <c r="L285" s="77">
        <f t="shared" si="19"/>
        <v>4.3797127468581687</v>
      </c>
    </row>
    <row r="286" spans="1:12" x14ac:dyDescent="0.25">
      <c r="A286" t="s">
        <v>15</v>
      </c>
      <c r="B286" s="4">
        <v>87</v>
      </c>
      <c r="C286" t="s">
        <v>29</v>
      </c>
      <c r="D286" s="4" t="s">
        <v>70</v>
      </c>
      <c r="E286" s="5">
        <v>191971</v>
      </c>
      <c r="F286" s="75">
        <v>8373.8530000000083</v>
      </c>
      <c r="G286" s="6">
        <v>9557</v>
      </c>
      <c r="H286" s="7">
        <v>2054</v>
      </c>
      <c r="I286" s="5">
        <f t="shared" si="16"/>
        <v>183597.147</v>
      </c>
      <c r="J286" s="5">
        <f t="shared" si="17"/>
        <v>19.210750967876947</v>
      </c>
      <c r="K286" s="76">
        <f t="shared" si="18"/>
        <v>4.3620406207187587E-2</v>
      </c>
      <c r="L286" s="77">
        <f t="shared" si="19"/>
        <v>4.6528724440116846</v>
      </c>
    </row>
    <row r="287" spans="1:12" x14ac:dyDescent="0.25">
      <c r="A287" t="s">
        <v>79</v>
      </c>
      <c r="B287" s="4">
        <v>23</v>
      </c>
      <c r="C287" t="str">
        <f>VLOOKUP(B287,'[1]Route types'!A:B,2,FALSE)</f>
        <v>Supporting Local</v>
      </c>
      <c r="D287" s="4" t="s">
        <v>14</v>
      </c>
      <c r="E287" s="5">
        <v>2911207.2369196694</v>
      </c>
      <c r="F287" s="75">
        <v>186054.88528960064</v>
      </c>
      <c r="G287" s="6">
        <v>146019.60538562102</v>
      </c>
      <c r="H287" s="7">
        <v>13259.939999999993</v>
      </c>
      <c r="I287" s="5">
        <f t="shared" si="16"/>
        <v>2725152.3516300688</v>
      </c>
      <c r="J287" s="5">
        <f t="shared" si="17"/>
        <v>18.662920944302336</v>
      </c>
      <c r="K287" s="76">
        <f t="shared" si="18"/>
        <v>6.3909873172225337E-2</v>
      </c>
      <c r="L287" s="77">
        <f t="shared" si="19"/>
        <v>11.012086433695861</v>
      </c>
    </row>
    <row r="288" spans="1:12" x14ac:dyDescent="0.25">
      <c r="A288" t="s">
        <v>79</v>
      </c>
      <c r="B288" s="4">
        <v>32</v>
      </c>
      <c r="C288" t="str">
        <f>VLOOKUP(B288,'[1]Route types'!A:B,2,FALSE)</f>
        <v>Supporting Local</v>
      </c>
      <c r="D288" s="4" t="s">
        <v>14</v>
      </c>
      <c r="E288" s="5">
        <v>2327648.1065159696</v>
      </c>
      <c r="F288" s="75">
        <v>227299.07174880963</v>
      </c>
      <c r="G288" s="6">
        <v>188822.6491606287</v>
      </c>
      <c r="H288" s="7">
        <v>9428.1500000000469</v>
      </c>
      <c r="I288" s="5">
        <f t="shared" si="16"/>
        <v>2100349.0347671602</v>
      </c>
      <c r="J288" s="5">
        <f t="shared" si="17"/>
        <v>11.123395652501536</v>
      </c>
      <c r="K288" s="76">
        <f t="shared" si="18"/>
        <v>9.7651819066856951E-2</v>
      </c>
      <c r="L288" s="77">
        <f t="shared" si="19"/>
        <v>20.027539778283945</v>
      </c>
    </row>
    <row r="289" spans="1:12" x14ac:dyDescent="0.25">
      <c r="A289" t="s">
        <v>79</v>
      </c>
      <c r="B289" s="4">
        <v>46</v>
      </c>
      <c r="C289" t="str">
        <f>VLOOKUP(B289,'[1]Route types'!A:B,2,FALSE)</f>
        <v>Supporting Local</v>
      </c>
      <c r="D289" s="4" t="s">
        <v>14</v>
      </c>
      <c r="E289" s="5">
        <v>2766926.5102417283</v>
      </c>
      <c r="F289" s="75">
        <v>151554.62498884732</v>
      </c>
      <c r="G289" s="6">
        <v>106061.17525041553</v>
      </c>
      <c r="H289" s="7">
        <v>12589.240000000029</v>
      </c>
      <c r="I289" s="5">
        <f t="shared" si="16"/>
        <v>2615371.8852528809</v>
      </c>
      <c r="J289" s="5">
        <f t="shared" si="17"/>
        <v>24.659088295767628</v>
      </c>
      <c r="K289" s="76">
        <f t="shared" si="18"/>
        <v>5.4773635811385168E-2</v>
      </c>
      <c r="L289" s="77">
        <f t="shared" si="19"/>
        <v>8.4247480586926056</v>
      </c>
    </row>
    <row r="290" spans="1:12" x14ac:dyDescent="0.25">
      <c r="A290" t="s">
        <v>79</v>
      </c>
      <c r="B290" s="4">
        <v>65</v>
      </c>
      <c r="C290" t="str">
        <f>VLOOKUP(B290,'[1]Route types'!A:B,2,FALSE)</f>
        <v>Supporting Local</v>
      </c>
      <c r="D290" s="4" t="s">
        <v>14</v>
      </c>
      <c r="E290" s="5">
        <v>2493793.6653190367</v>
      </c>
      <c r="F290" s="75">
        <v>119484.42513101448</v>
      </c>
      <c r="G290" s="6">
        <v>102505.93930851185</v>
      </c>
      <c r="H290" s="7">
        <v>10240.259999999967</v>
      </c>
      <c r="I290" s="5">
        <f t="shared" si="16"/>
        <v>2374309.2401880221</v>
      </c>
      <c r="J290" s="5">
        <f t="shared" si="17"/>
        <v>23.162650439620577</v>
      </c>
      <c r="K290" s="76">
        <f t="shared" si="18"/>
        <v>4.7912714990287125E-2</v>
      </c>
      <c r="L290" s="77">
        <f t="shared" si="19"/>
        <v>10.010091473118083</v>
      </c>
    </row>
    <row r="291" spans="1:12" x14ac:dyDescent="0.25">
      <c r="A291" t="s">
        <v>79</v>
      </c>
      <c r="B291" s="4">
        <v>23</v>
      </c>
      <c r="C291" t="str">
        <f>VLOOKUP(B291,'[1]Route types'!A:B,2,FALSE)</f>
        <v>Supporting Local</v>
      </c>
      <c r="D291" s="4" t="s">
        <v>17</v>
      </c>
      <c r="E291" s="5">
        <v>567313.92506681802</v>
      </c>
      <c r="F291" s="75">
        <v>23584.646471786375</v>
      </c>
      <c r="G291" s="6">
        <v>22998.032081911155</v>
      </c>
      <c r="H291" s="7">
        <v>2554.0799999999981</v>
      </c>
      <c r="I291" s="5">
        <f t="shared" si="16"/>
        <v>543729.27859503159</v>
      </c>
      <c r="J291" s="5">
        <f t="shared" si="17"/>
        <v>23.642426302322441</v>
      </c>
      <c r="K291" s="76">
        <f t="shared" si="18"/>
        <v>4.1572479415181961E-2</v>
      </c>
      <c r="L291" s="77">
        <f t="shared" si="19"/>
        <v>9.0044290241148168</v>
      </c>
    </row>
    <row r="292" spans="1:12" x14ac:dyDescent="0.25">
      <c r="A292" t="s">
        <v>79</v>
      </c>
      <c r="B292" s="4">
        <v>32</v>
      </c>
      <c r="C292" t="str">
        <f>VLOOKUP(B292,'[1]Route types'!A:B,2,FALSE)</f>
        <v>Supporting Local</v>
      </c>
      <c r="D292" s="4" t="s">
        <v>17</v>
      </c>
      <c r="E292" s="5">
        <v>359392.64330212952</v>
      </c>
      <c r="F292" s="75">
        <v>19492.66793705861</v>
      </c>
      <c r="G292" s="6">
        <v>24777.243376410304</v>
      </c>
      <c r="H292" s="7">
        <v>1637.0999999999988</v>
      </c>
      <c r="I292" s="5">
        <f t="shared" si="16"/>
        <v>339899.97536507092</v>
      </c>
      <c r="J292" s="5">
        <f t="shared" si="17"/>
        <v>13.718232097146039</v>
      </c>
      <c r="K292" s="76">
        <f t="shared" si="18"/>
        <v>5.4237804530327484E-2</v>
      </c>
      <c r="L292" s="77">
        <f t="shared" si="19"/>
        <v>15.134838052904724</v>
      </c>
    </row>
    <row r="293" spans="1:12" x14ac:dyDescent="0.25">
      <c r="A293" t="s">
        <v>79</v>
      </c>
      <c r="B293" s="4">
        <v>46</v>
      </c>
      <c r="C293" t="str">
        <f>VLOOKUP(B293,'[1]Route types'!A:B,2,FALSE)</f>
        <v>Supporting Local</v>
      </c>
      <c r="D293" s="4" t="s">
        <v>17</v>
      </c>
      <c r="E293" s="5">
        <v>417519.94193879643</v>
      </c>
      <c r="F293" s="75">
        <v>13579.700824506523</v>
      </c>
      <c r="G293" s="6">
        <v>13033.386617017683</v>
      </c>
      <c r="H293" s="7">
        <v>1978.5600000000011</v>
      </c>
      <c r="I293" s="5">
        <f t="shared" si="16"/>
        <v>403940.24111428991</v>
      </c>
      <c r="J293" s="5">
        <f t="shared" si="17"/>
        <v>30.992730668087866</v>
      </c>
      <c r="K293" s="76">
        <f t="shared" si="18"/>
        <v>3.252467597463201E-2</v>
      </c>
      <c r="L293" s="77">
        <f t="shared" si="19"/>
        <v>6.5873092638169553</v>
      </c>
    </row>
    <row r="294" spans="1:12" x14ac:dyDescent="0.25">
      <c r="A294" t="s">
        <v>79</v>
      </c>
      <c r="B294" s="4">
        <v>65</v>
      </c>
      <c r="C294" t="str">
        <f>VLOOKUP(B294,'[1]Route types'!A:B,2,FALSE)</f>
        <v>Supporting Local</v>
      </c>
      <c r="D294" s="4" t="s">
        <v>17</v>
      </c>
      <c r="E294" s="5">
        <v>494440.42462792678</v>
      </c>
      <c r="F294" s="75">
        <v>15686.221338761839</v>
      </c>
      <c r="G294" s="6">
        <v>15987.408473735382</v>
      </c>
      <c r="H294" s="7">
        <v>2036.7000000000016</v>
      </c>
      <c r="I294" s="5">
        <f t="shared" si="16"/>
        <v>478754.20328916493</v>
      </c>
      <c r="J294" s="5">
        <f t="shared" si="17"/>
        <v>29.945704088043875</v>
      </c>
      <c r="K294" s="76">
        <f t="shared" si="18"/>
        <v>3.1725199958247623E-2</v>
      </c>
      <c r="L294" s="77">
        <f t="shared" si="19"/>
        <v>7.849662922244498</v>
      </c>
    </row>
    <row r="295" spans="1:12" x14ac:dyDescent="0.25">
      <c r="A295" t="s">
        <v>79</v>
      </c>
      <c r="B295" s="4">
        <v>23</v>
      </c>
      <c r="C295" t="str">
        <f>VLOOKUP(B295,'[1]Route types'!A:B,2,FALSE)</f>
        <v>Supporting Local</v>
      </c>
      <c r="D295" s="4" t="s">
        <v>18</v>
      </c>
      <c r="E295" s="5">
        <v>499953.68107800902</v>
      </c>
      <c r="F295" s="75">
        <v>21140.061841855299</v>
      </c>
      <c r="G295" s="6">
        <v>20768.441331371618</v>
      </c>
      <c r="H295" s="7">
        <v>2176.2600000000007</v>
      </c>
      <c r="I295" s="5">
        <f t="shared" si="16"/>
        <v>478813.61923615373</v>
      </c>
      <c r="J295" s="5">
        <f t="shared" si="17"/>
        <v>23.054865389098087</v>
      </c>
      <c r="K295" s="76">
        <f t="shared" si="18"/>
        <v>4.2284040786083867E-2</v>
      </c>
      <c r="L295" s="77">
        <f t="shared" si="19"/>
        <v>9.5431801950923187</v>
      </c>
    </row>
    <row r="296" spans="1:12" x14ac:dyDescent="0.25">
      <c r="A296" t="s">
        <v>79</v>
      </c>
      <c r="B296" s="4">
        <v>32</v>
      </c>
      <c r="C296" t="str">
        <f>VLOOKUP(B296,'[1]Route types'!A:B,2,FALSE)</f>
        <v>Supporting Local</v>
      </c>
      <c r="D296" s="4" t="s">
        <v>18</v>
      </c>
      <c r="E296" s="5">
        <v>379797.74709437607</v>
      </c>
      <c r="F296" s="75">
        <v>16035.315224733002</v>
      </c>
      <c r="G296" s="6">
        <v>21679.822400434467</v>
      </c>
      <c r="H296" s="7">
        <v>1622.7900000000013</v>
      </c>
      <c r="I296" s="5">
        <f t="shared" si="16"/>
        <v>363762.43186964304</v>
      </c>
      <c r="J296" s="5">
        <f t="shared" si="17"/>
        <v>16.778847407087301</v>
      </c>
      <c r="K296" s="76">
        <f t="shared" si="18"/>
        <v>4.222066967856021E-2</v>
      </c>
      <c r="L296" s="77">
        <f t="shared" si="19"/>
        <v>13.359598223081512</v>
      </c>
    </row>
    <row r="297" spans="1:12" x14ac:dyDescent="0.25">
      <c r="A297" t="s">
        <v>79</v>
      </c>
      <c r="B297" s="4">
        <v>46</v>
      </c>
      <c r="C297" t="str">
        <f>VLOOKUP(B297,'[1]Route types'!A:B,2,FALSE)</f>
        <v>Supporting Local</v>
      </c>
      <c r="D297" s="4" t="s">
        <v>18</v>
      </c>
      <c r="E297" s="5">
        <v>372517.10656412481</v>
      </c>
      <c r="F297" s="75">
        <v>10152.539210151661</v>
      </c>
      <c r="G297" s="6">
        <v>9421.8532431089516</v>
      </c>
      <c r="H297" s="7">
        <v>1617.7199999999984</v>
      </c>
      <c r="I297" s="5">
        <f t="shared" si="16"/>
        <v>362364.56735397317</v>
      </c>
      <c r="J297" s="5">
        <f t="shared" si="17"/>
        <v>38.46000972462641</v>
      </c>
      <c r="K297" s="76">
        <f t="shared" si="18"/>
        <v>2.725388722089199E-2</v>
      </c>
      <c r="L297" s="77">
        <f t="shared" si="19"/>
        <v>5.8241557519898128</v>
      </c>
    </row>
    <row r="298" spans="1:12" x14ac:dyDescent="0.25">
      <c r="A298" t="s">
        <v>79</v>
      </c>
      <c r="B298" s="4">
        <v>65</v>
      </c>
      <c r="C298" t="str">
        <f>VLOOKUP(B298,'[1]Route types'!A:B,2,FALSE)</f>
        <v>Supporting Local</v>
      </c>
      <c r="D298" s="4" t="s">
        <v>18</v>
      </c>
      <c r="E298" s="5">
        <v>566590.60676734161</v>
      </c>
      <c r="F298" s="75">
        <v>12964.650360196216</v>
      </c>
      <c r="G298" s="6">
        <v>15353.265701904937</v>
      </c>
      <c r="H298" s="7">
        <v>2162.5800000000022</v>
      </c>
      <c r="I298" s="5">
        <f t="shared" si="16"/>
        <v>553625.95640714536</v>
      </c>
      <c r="J298" s="5">
        <f t="shared" si="17"/>
        <v>36.059165988279283</v>
      </c>
      <c r="K298" s="76">
        <f t="shared" si="18"/>
        <v>2.2881866034040826E-2</v>
      </c>
      <c r="L298" s="77">
        <f t="shared" si="19"/>
        <v>7.0995134061652845</v>
      </c>
    </row>
    <row r="299" spans="1:12" x14ac:dyDescent="0.25">
      <c r="A299" t="s">
        <v>15</v>
      </c>
      <c r="B299" s="4" t="s">
        <v>45</v>
      </c>
      <c r="C299" t="s">
        <v>46</v>
      </c>
      <c r="D299" s="4" t="s">
        <v>69</v>
      </c>
      <c r="E299" s="5">
        <v>632074</v>
      </c>
      <c r="F299" s="75">
        <v>338501</v>
      </c>
      <c r="G299" s="6">
        <v>56594</v>
      </c>
      <c r="H299" s="7">
        <v>16434</v>
      </c>
      <c r="I299" s="5">
        <f t="shared" si="16"/>
        <v>293573</v>
      </c>
      <c r="J299" s="5">
        <f t="shared" si="17"/>
        <v>5.1873520161147821</v>
      </c>
      <c r="K299" s="76">
        <f t="shared" si="18"/>
        <v>0.53554014245167492</v>
      </c>
      <c r="L299" s="77">
        <f t="shared" si="19"/>
        <v>3.4437142509431666</v>
      </c>
    </row>
  </sheetData>
  <autoFilter ref="A1:L135" xr:uid="{00000000-0001-0000-0000-000000000000}">
    <sortState xmlns:xlrd2="http://schemas.microsoft.com/office/spreadsheetml/2017/richdata2" ref="A2:L299">
      <sortCondition ref="C1:C135"/>
    </sortState>
  </autoFilter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55138-D364-4847-A536-220EFC8139B1}">
  <dimension ref="A1:O9"/>
  <sheetViews>
    <sheetView workbookViewId="0">
      <selection activeCell="N2" sqref="A2:N8"/>
    </sheetView>
  </sheetViews>
  <sheetFormatPr defaultRowHeight="15" x14ac:dyDescent="0.25"/>
  <cols>
    <col min="1" max="1" width="20" bestFit="1" customWidth="1"/>
    <col min="2" max="2" width="16.28515625" bestFit="1" customWidth="1"/>
    <col min="3" max="3" width="12.5703125" bestFit="1" customWidth="1"/>
    <col min="4" max="4" width="13.5703125" bestFit="1" customWidth="1"/>
    <col min="5" max="5" width="23.5703125" bestFit="1" customWidth="1"/>
    <col min="6" max="6" width="25.28515625" bestFit="1" customWidth="1"/>
    <col min="7" max="7" width="14.28515625" bestFit="1" customWidth="1"/>
    <col min="8" max="8" width="12" bestFit="1" customWidth="1"/>
    <col min="9" max="9" width="12.28515625" bestFit="1" customWidth="1"/>
    <col min="10" max="10" width="11" bestFit="1" customWidth="1"/>
    <col min="11" max="11" width="12.7109375" bestFit="1" customWidth="1"/>
    <col min="12" max="12" width="14.42578125" bestFit="1" customWidth="1"/>
    <col min="13" max="13" width="15.7109375" bestFit="1" customWidth="1"/>
    <col min="14" max="14" width="8.42578125" bestFit="1" customWidth="1"/>
    <col min="15" max="15" width="12" bestFit="1" customWidth="1"/>
  </cols>
  <sheetData>
    <row r="1" spans="1:15" x14ac:dyDescent="0.25">
      <c r="A1" s="73" t="s">
        <v>100</v>
      </c>
      <c r="B1" s="73" t="s">
        <v>91</v>
      </c>
    </row>
    <row r="2" spans="1:15" x14ac:dyDescent="0.25">
      <c r="A2" s="73" t="s">
        <v>77</v>
      </c>
      <c r="B2" t="s">
        <v>43</v>
      </c>
      <c r="C2" t="s">
        <v>92</v>
      </c>
      <c r="D2" t="s">
        <v>93</v>
      </c>
      <c r="E2" t="s">
        <v>56</v>
      </c>
      <c r="F2" t="s">
        <v>74</v>
      </c>
      <c r="G2" t="s">
        <v>94</v>
      </c>
      <c r="H2" t="s">
        <v>27</v>
      </c>
      <c r="I2" t="s">
        <v>72</v>
      </c>
      <c r="J2" t="s">
        <v>95</v>
      </c>
      <c r="K2" t="s">
        <v>57</v>
      </c>
      <c r="L2" t="s">
        <v>31</v>
      </c>
      <c r="M2" t="s">
        <v>29</v>
      </c>
      <c r="N2" t="s">
        <v>46</v>
      </c>
      <c r="O2" t="s">
        <v>78</v>
      </c>
    </row>
    <row r="3" spans="1:15" x14ac:dyDescent="0.25">
      <c r="A3" s="74" t="s">
        <v>73</v>
      </c>
      <c r="E3">
        <v>204993.99999999965</v>
      </c>
      <c r="I3">
        <v>38747</v>
      </c>
      <c r="L3">
        <v>0</v>
      </c>
      <c r="O3">
        <v>243740.99999999965</v>
      </c>
    </row>
    <row r="4" spans="1:15" x14ac:dyDescent="0.25">
      <c r="A4" s="74" t="s">
        <v>79</v>
      </c>
      <c r="C4">
        <v>1550235.8824324259</v>
      </c>
      <c r="D4">
        <v>84164.450941821618</v>
      </c>
      <c r="E4">
        <v>2307229.426494142</v>
      </c>
      <c r="G4">
        <v>147588.18</v>
      </c>
      <c r="H4">
        <v>17775049.00842303</v>
      </c>
      <c r="J4">
        <v>6809949.2799999993</v>
      </c>
      <c r="L4">
        <v>850774.3263412395</v>
      </c>
      <c r="M4">
        <v>817028.8103673216</v>
      </c>
      <c r="O4">
        <v>30342019.36499998</v>
      </c>
    </row>
    <row r="5" spans="1:15" x14ac:dyDescent="0.25">
      <c r="A5" s="74" t="s">
        <v>15</v>
      </c>
      <c r="B5">
        <v>3981149</v>
      </c>
      <c r="E5">
        <v>9817.4480000000021</v>
      </c>
      <c r="H5">
        <v>80927.276999999638</v>
      </c>
      <c r="I5">
        <v>488768</v>
      </c>
      <c r="L5">
        <v>643183.45599999954</v>
      </c>
      <c r="M5">
        <v>403265.75299999979</v>
      </c>
      <c r="N5">
        <v>338501</v>
      </c>
      <c r="O5">
        <v>5945611.9339999985</v>
      </c>
    </row>
    <row r="6" spans="1:15" x14ac:dyDescent="0.25">
      <c r="A6" s="74" t="s">
        <v>16</v>
      </c>
      <c r="E6">
        <v>567814.44093496318</v>
      </c>
      <c r="L6">
        <v>335624.58830575069</v>
      </c>
      <c r="O6">
        <v>903439.02924071392</v>
      </c>
    </row>
    <row r="7" spans="1:15" x14ac:dyDescent="0.25">
      <c r="A7" s="74" t="s">
        <v>76</v>
      </c>
      <c r="F7">
        <v>69226.545304153187</v>
      </c>
      <c r="I7">
        <v>72926.42</v>
      </c>
      <c r="O7">
        <v>142152.96530415319</v>
      </c>
    </row>
    <row r="8" spans="1:15" x14ac:dyDescent="0.25">
      <c r="A8" s="74" t="s">
        <v>19</v>
      </c>
      <c r="E8">
        <v>235250</v>
      </c>
      <c r="I8">
        <v>188201</v>
      </c>
      <c r="K8">
        <v>98369</v>
      </c>
      <c r="O8">
        <v>521820</v>
      </c>
    </row>
    <row r="9" spans="1:15" x14ac:dyDescent="0.25">
      <c r="A9" s="74" t="s">
        <v>78</v>
      </c>
      <c r="B9">
        <v>3981149</v>
      </c>
      <c r="C9">
        <v>1550235.8824324259</v>
      </c>
      <c r="D9">
        <v>84164.450941821618</v>
      </c>
      <c r="E9">
        <v>3325105.3154291045</v>
      </c>
      <c r="F9">
        <v>69226.545304153187</v>
      </c>
      <c r="G9">
        <v>147588.18</v>
      </c>
      <c r="H9">
        <v>17855976.285423029</v>
      </c>
      <c r="I9">
        <v>788642.42</v>
      </c>
      <c r="J9">
        <v>6809949.2799999993</v>
      </c>
      <c r="K9">
        <v>98369</v>
      </c>
      <c r="L9">
        <v>1829582.3706469897</v>
      </c>
      <c r="M9">
        <v>1220294.5633673214</v>
      </c>
      <c r="N9">
        <v>338501</v>
      </c>
      <c r="O9">
        <v>38098784.293544844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D778-93DD-4FDE-A8E8-58BA1A0AB1A6}">
  <dimension ref="A1:I11"/>
  <sheetViews>
    <sheetView workbookViewId="0">
      <selection activeCell="I8" sqref="A8:I8"/>
    </sheetView>
  </sheetViews>
  <sheetFormatPr defaultRowHeight="15" x14ac:dyDescent="0.25"/>
  <cols>
    <col min="1" max="1" width="25.28515625" bestFit="1" customWidth="1"/>
  </cols>
  <sheetData>
    <row r="1" spans="1:9" x14ac:dyDescent="0.25">
      <c r="A1" s="149" t="s">
        <v>102</v>
      </c>
      <c r="B1" s="150" t="s">
        <v>109</v>
      </c>
      <c r="C1" s="150"/>
      <c r="D1" s="150"/>
      <c r="E1" s="150"/>
      <c r="F1" s="150" t="s">
        <v>110</v>
      </c>
      <c r="G1" s="150"/>
      <c r="H1" s="150"/>
      <c r="I1" s="150"/>
    </row>
    <row r="2" spans="1:9" x14ac:dyDescent="0.25">
      <c r="A2" s="149"/>
      <c r="B2" t="s">
        <v>14</v>
      </c>
      <c r="C2" t="s">
        <v>17</v>
      </c>
      <c r="D2" t="s">
        <v>18</v>
      </c>
      <c r="E2" t="s">
        <v>98</v>
      </c>
      <c r="F2" t="s">
        <v>14</v>
      </c>
      <c r="G2" t="s">
        <v>17</v>
      </c>
      <c r="H2" t="s">
        <v>18</v>
      </c>
      <c r="I2" t="s">
        <v>98</v>
      </c>
    </row>
    <row r="3" spans="1:9" x14ac:dyDescent="0.25">
      <c r="A3" s="123" t="s">
        <v>96</v>
      </c>
      <c r="B3" s="124">
        <f>AVERAGE('Table 5 ABRT'!J5:J6)</f>
        <v>7.7312434225599205</v>
      </c>
      <c r="C3" s="124">
        <f>AVERAGE('Table 5 ABRT'!J7:J8)</f>
        <v>8.2178125111398703</v>
      </c>
      <c r="D3" s="124">
        <f>AVERAGE('Table 5 ABRT'!J9:J10)</f>
        <v>9.7529019350579524</v>
      </c>
      <c r="E3" s="124"/>
      <c r="F3" s="124">
        <f>SUM('Table 5 ABRT'!G5:G6)/SUM('Table 5 ABRT'!H5:H6)</f>
        <v>7.6483538829413922</v>
      </c>
      <c r="G3" s="124">
        <f>SUM('Table 5 ABRT'!G7:G8)/SUM('Table 5 ABRT'!H7:H8)</f>
        <v>8.2059137082073352</v>
      </c>
      <c r="H3" s="124">
        <f>SUM('Table 5 ABRT'!G9:G10)/SUM('Table 5 ABRT'!H9:H10)</f>
        <v>9.7316202848853077</v>
      </c>
      <c r="I3" s="124">
        <f>SUM('Table 5 ABRT'!G5:G10)/SUM('Table 5 ABRT'!H5:H10)</f>
        <v>7.9632458012814809</v>
      </c>
    </row>
    <row r="4" spans="1:9" x14ac:dyDescent="0.25">
      <c r="A4" s="123" t="s">
        <v>97</v>
      </c>
      <c r="B4" s="124">
        <f>AVERAGE('Table 6 Highway BRT'!J5:J6)</f>
        <v>31.412394422693183</v>
      </c>
      <c r="C4" s="124">
        <f>AVERAGE('Table 6 Highway BRT'!J7:J8)</f>
        <v>21.047674891889187</v>
      </c>
      <c r="D4" s="124">
        <f>AVERAGE('Table 6 Highway BRT'!J9:J10)</f>
        <v>32.715895953701725</v>
      </c>
      <c r="E4" s="124"/>
      <c r="F4" s="124">
        <f>SUM('Table 6 Highway BRT'!G5:G6)/SUM('Table 6 Highway BRT'!H5:H6)</f>
        <v>27.457783194501896</v>
      </c>
      <c r="G4" s="124">
        <f>SUM('Table 6 Highway BRT'!G7:G8)/SUM('Table 6 Highway BRT'!H7:H8)</f>
        <v>20.817980786993434</v>
      </c>
      <c r="H4" s="124">
        <f>SUM('Table 6 Highway BRT'!G9:G10)/SUM('Table 6 Highway BRT'!H9:H10)</f>
        <v>25.316258629711818</v>
      </c>
      <c r="I4" s="124">
        <f>SUM('Table 6 Highway BRT'!G5:G10)/SUM('Table 6 Highway BRT'!H5:H10)</f>
        <v>26.313217293499658</v>
      </c>
    </row>
    <row r="5" spans="1:9" x14ac:dyDescent="0.25">
      <c r="A5" s="117" t="s">
        <v>56</v>
      </c>
      <c r="B5" s="121">
        <f>AVERAGEIF('Table 1 Commuter &amp; Express Bus'!D5:D73, "Weekday",'Table 1 Commuter &amp; Express Bus'!J5:J73)</f>
        <v>91.433550222356516</v>
      </c>
      <c r="C5" s="121">
        <f>AVERAGEIF('Table 1 Commuter &amp; Express Bus'!D5:D73, "Saturday",'Table 1 Commuter &amp; Express Bus'!J5:J73)</f>
        <v>27.132021610863021</v>
      </c>
      <c r="D5" s="121">
        <f>AVERAGEIF('Table 1 Commuter &amp; Express Bus'!D5:D73, "Sunday",'Table 1 Commuter &amp; Express Bus'!J5:J73)</f>
        <v>29.134167459098624</v>
      </c>
      <c r="E5" s="121"/>
      <c r="F5" s="121">
        <f>SUMIF('Table 1 Commuter &amp; Express Bus'!D5:D73,"Weekday", 'Table 1 Commuter &amp; Express Bus'!G5:G73)/SUMIF('Table 1 Commuter &amp; Express Bus'!D5:D73, "Weekday", 'Table 1 Commuter &amp; Express Bus'!H5:H73)</f>
        <v>31.406637261182162</v>
      </c>
      <c r="G5" s="121">
        <f>SUMIF('Table 1 Commuter &amp; Express Bus'!D5:D73,"Saturday", 'Table 1 Commuter &amp; Express Bus'!G5:G73)/SUMIF('Table 1 Commuter &amp; Express Bus'!D5:D73, "Saturday", 'Table 1 Commuter &amp; Express Bus'!H5:H73)</f>
        <v>26.805569992423958</v>
      </c>
      <c r="H5" s="121">
        <f>SUMIF('Table 1 Commuter &amp; Express Bus'!D5:D73,"Sunday", 'Table 1 Commuter &amp; Express Bus'!G5:G73)/SUMIF('Table 1 Commuter &amp; Express Bus'!D5:D73, "Sunday", 'Table 1 Commuter &amp; Express Bus'!H5:H73)</f>
        <v>27.992611050486346</v>
      </c>
      <c r="I5" s="121">
        <f>SUM('Table 1 Commuter &amp; Express Bus'!G5:G73)/SUM('Table 1 Commuter &amp; Express Bus'!H5:H73)</f>
        <v>31.261285463241638</v>
      </c>
    </row>
    <row r="6" spans="1:9" x14ac:dyDescent="0.25">
      <c r="A6" s="117" t="s">
        <v>103</v>
      </c>
      <c r="B6" s="121">
        <f ca="1">AVERAGEIF('Table 2 Core Local Bus'!D:D,"Weekday",'Table 2 Core Local Bus'!J5:J82)</f>
        <v>15.899412727177243</v>
      </c>
      <c r="C6" s="121">
        <f ca="1">AVERAGEIF('Table 2 Core Local Bus'!D:D,"Saturday",'Table 2 Core Local Bus'!J5:J82)</f>
        <v>16.666241270807959</v>
      </c>
      <c r="D6" s="121">
        <f ca="1">AVERAGEIF('Table 2 Core Local Bus'!D:D,"Sunday",'Table 2 Core Local Bus'!J5:J82)</f>
        <v>17.331442319063619</v>
      </c>
      <c r="E6" s="121"/>
      <c r="F6" s="121">
        <f>SUMIF('Table 2 Core Local Bus'!D5:D82,"Weekday",'Table 2 Core Local Bus'!G5:G82)/SUMIF('Table 2 Core Local Bus'!D5:D82,"Weekday",'Table 2 Core Local Bus'!H5:H82)</f>
        <v>12.424927360171168</v>
      </c>
      <c r="G6" s="121">
        <f>SUMIF('Table 2 Core Local Bus'!D5:D82,"Saturday",'Table 2 Core Local Bus'!G5:G82)/SUMIF('Table 2 Core Local Bus'!D5:D82,"Saturday",'Table 2 Core Local Bus'!H5:H82)</f>
        <v>13.381406230850402</v>
      </c>
      <c r="H6" s="121">
        <f>SUMIF('Table 2 Core Local Bus'!D5:D82,"Sunday",'Table 2 Core Local Bus'!G5:G82)/SUMIF('Table 2 Core Local Bus'!D5:D82,"Sunday",'Table 2 Core Local Bus'!H5:H82)</f>
        <v>13.522472171860487</v>
      </c>
      <c r="I6" s="121">
        <f>SUM('Table 2 Core Local Bus'!G5:G82)/SUM('Table 2 Core Local Bus'!H5:H82)</f>
        <v>12.632013355489475</v>
      </c>
    </row>
    <row r="7" spans="1:9" x14ac:dyDescent="0.25">
      <c r="A7" t="s">
        <v>104</v>
      </c>
      <c r="B7" s="115">
        <f>AVERAGE('Table 9 Gen DAR'!J5:J7,'Table 9 Gen DAR'!J9)</f>
        <v>36.699800102931739</v>
      </c>
      <c r="C7" s="115">
        <f>'Table 9 Gen DAR'!J8</f>
        <v>14.709921443118999</v>
      </c>
      <c r="D7" s="115"/>
      <c r="E7" s="115"/>
      <c r="F7" s="115">
        <f>SUM('Table 9 Gen DAR'!G5:G7,'Table 9 Gen DAR'!G9)/SUM('Table 9 Gen DAR'!H5:H7,'Table 9 Gen DAR'!H9)</f>
        <v>42.915693728738873</v>
      </c>
      <c r="G7" s="115">
        <f>'Table 9 Gen DAR'!J8</f>
        <v>14.709921443118999</v>
      </c>
      <c r="H7" s="115"/>
      <c r="I7" s="115">
        <f>SUM('Table 9 Gen DAR'!G5:G9)/SUM('Table 9 Gen DAR'!H5:H9)</f>
        <v>42.503961234023706</v>
      </c>
    </row>
    <row r="8" spans="1:9" x14ac:dyDescent="0.25">
      <c r="A8" s="10" t="s">
        <v>95</v>
      </c>
      <c r="B8" s="122">
        <f>AVERAGE('Table 7 LRT'!J5:J6)</f>
        <v>7.424695239719334</v>
      </c>
      <c r="C8" s="122">
        <f>AVERAGE('Table 7 LRT'!J7:J8)</f>
        <v>7.0943522130280989</v>
      </c>
      <c r="D8" s="122">
        <f>AVERAGE('Table 7 LRT'!J9:J10)</f>
        <v>8.2786542464765116</v>
      </c>
      <c r="E8" s="122"/>
      <c r="F8" s="122">
        <f>SUM('Table 7 LRT'!G5:G6)/SUM('Table 7 LRT'!H5:H6)</f>
        <v>7.215258613192483</v>
      </c>
      <c r="G8" s="122">
        <f>SUM('Table 7 LRT'!G7:G8)/SUM('Table 7 LRT'!H7:H8)</f>
        <v>7.0397936059704058</v>
      </c>
      <c r="H8" s="122">
        <f>SUM('Table 7 LRT'!G9:G10)/SUM('Table 7 LRT'!H9:H10)</f>
        <v>8.2813203364810057</v>
      </c>
      <c r="I8" s="122">
        <f>SUM('Table 7 LRT'!G5:G10)/SUM('Table 7 LRT'!H5:H10)</f>
        <v>7.3357500617383344</v>
      </c>
    </row>
    <row r="9" spans="1:9" x14ac:dyDescent="0.25">
      <c r="A9" t="s">
        <v>94</v>
      </c>
      <c r="B9" s="115">
        <f>'Table 8 Commuter Rail'!J5</f>
        <v>174.33916177234568</v>
      </c>
      <c r="C9" s="115"/>
      <c r="D9" s="115"/>
      <c r="E9" s="115"/>
      <c r="F9" s="115">
        <f>'Table 8 Commuter Rail'!J5</f>
        <v>174.33916177234568</v>
      </c>
      <c r="G9" s="115"/>
      <c r="H9" s="115"/>
      <c r="I9" s="115">
        <f>'Table 8 Commuter Rail'!J5</f>
        <v>174.33916177234568</v>
      </c>
    </row>
    <row r="10" spans="1:9" x14ac:dyDescent="0.25">
      <c r="A10" s="123" t="s">
        <v>105</v>
      </c>
      <c r="B10" s="124">
        <f>AVERAGEIF('Table 4 Suburban Local Bus'!D5:D93,"Weekday",'Table 4 Suburban Local Bus'!J5:J93)</f>
        <v>39.499895434886398</v>
      </c>
      <c r="C10" s="124">
        <f>AVERAGEIF('Table 4 Suburban Local Bus'!D5:D93,"Saturday",'Table 4 Suburban Local Bus'!J5:J93)</f>
        <v>38.478430656106191</v>
      </c>
      <c r="D10" s="124">
        <f>AVERAGEIF('Table 4 Suburban Local Bus'!D5:D93,"Sunday",'Table 4 Suburban Local Bus'!J5:J93)</f>
        <v>54.783345117988823</v>
      </c>
      <c r="E10" s="124"/>
      <c r="F10" s="124">
        <f>SUMIF('Table 4 Suburban Local Bus'!D5:D93,"Weekday",'Table 4 Suburban Local Bus'!G5:G93)/SUMIF('Table 4 Suburban Local Bus'!D5:D93,"Weekday",'Table 4 Suburban Local Bus'!H5:H93)</f>
        <v>18.581000800956833</v>
      </c>
      <c r="G10" s="124">
        <f>SUMIF('Table 4 Suburban Local Bus'!D5:D93,"Saturday",'Table 4 Suburban Local Bus'!G5:G93)/SUMIF('Table 4 Suburban Local Bus'!D5:D93,"Saturday",'Table 4 Suburban Local Bus'!H5:H93)</f>
        <v>18.928092854583213</v>
      </c>
      <c r="H10" s="124">
        <f>SUMIF('Table 4 Suburban Local Bus'!D5:D93,"Sunday",'Table 4 Suburban Local Bus'!G5:G93)/SUMIF('Table 4 Suburban Local Bus'!D5:D93,"Sunday",'Table 4 Suburban Local Bus'!H5:H93)</f>
        <v>24.484529215389735</v>
      </c>
      <c r="I10" s="124">
        <f>SUM('Table 4 Suburban Local Bus'!G5:G93)/SUM('Table 4 Suburban Local Bus'!H5:H93)</f>
        <v>19.055710171121344</v>
      </c>
    </row>
    <row r="11" spans="1:9" x14ac:dyDescent="0.25">
      <c r="A11" s="123" t="s">
        <v>106</v>
      </c>
      <c r="B11" s="124">
        <f>AVERAGEIF('Table 3 Supporting Local Bus'!D5:D38,"Weekday",'Table 3 Supporting Local Bus'!J5:J38)</f>
        <v>17.722503148016475</v>
      </c>
      <c r="C11" s="124">
        <f>AVERAGEIF('Table 3 Supporting Local Bus'!D5:D38,"Saturday",'Table 3 Supporting Local Bus'!J5:J38)</f>
        <v>20.899280163757421</v>
      </c>
      <c r="D11" s="124">
        <f>AVERAGEIF('Table 3 Supporting Local Bus'!D5:D38,"Sunday",'Table 3 Supporting Local Bus'!J5:J38)</f>
        <v>23.103570368720138</v>
      </c>
      <c r="E11" s="124"/>
      <c r="F11" s="124">
        <f>SUMIF('Table 3 Supporting Local Bus'!D5:D38,"weekday", 'Table 3 Supporting Local Bus'!G5:G38)/SUMIF('Table 3 Supporting Local Bus'!D5:D38, "Weekday",'Table 3 Supporting Local Bus'!H5:H38)</f>
        <v>16.214918869849114</v>
      </c>
      <c r="G11" s="124">
        <f>SUMIF('Table 3 Supporting Local Bus'!D5:D38,"Saturday", 'Table 3 Supporting Local Bus'!G5:G38)/SUMIF('Table 3 Supporting Local Bus'!D5:D38, "Saturday",'Table 3 Supporting Local Bus'!H5:H38)</f>
        <v>20.367168546096245</v>
      </c>
      <c r="H11" s="124">
        <f>SUMIF('Table 3 Supporting Local Bus'!D5:D38,"Sunday", 'Table 3 Supporting Local Bus'!G5:G38)/SUMIF('Table 3 Supporting Local Bus'!D5:D38, "Sunday",'Table 3 Supporting Local Bus'!H5:H38)</f>
        <v>23.668714542609287</v>
      </c>
      <c r="I11" s="124">
        <f>SUM('Table 3 Supporting Local Bus'!G5:G38)/SUM('Table 3 Supporting Local Bus'!H5:H38)</f>
        <v>17.436625183559542</v>
      </c>
    </row>
  </sheetData>
  <mergeCells count="3">
    <mergeCell ref="A1:A2"/>
    <mergeCell ref="B1:E1"/>
    <mergeCell ref="F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22436-CEA5-4784-B6DD-D0C19577877F}">
  <dimension ref="A1:G11"/>
  <sheetViews>
    <sheetView workbookViewId="0">
      <selection sqref="A1:A11"/>
    </sheetView>
  </sheetViews>
  <sheetFormatPr defaultRowHeight="15" x14ac:dyDescent="0.25"/>
  <cols>
    <col min="1" max="1" width="25.28515625" bestFit="1" customWidth="1"/>
    <col min="2" max="2" width="11.28515625" customWidth="1"/>
    <col min="3" max="3" width="15" bestFit="1" customWidth="1"/>
    <col min="4" max="4" width="13.5703125" customWidth="1"/>
    <col min="5" max="5" width="15" bestFit="1" customWidth="1"/>
    <col min="6" max="6" width="15.85546875" bestFit="1" customWidth="1"/>
    <col min="7" max="7" width="15" bestFit="1" customWidth="1"/>
  </cols>
  <sheetData>
    <row r="1" spans="1:7" x14ac:dyDescent="0.25">
      <c r="A1" s="149" t="s">
        <v>102</v>
      </c>
      <c r="B1" s="150" t="s">
        <v>14</v>
      </c>
      <c r="C1" s="150"/>
      <c r="D1" s="150" t="s">
        <v>17</v>
      </c>
      <c r="E1" s="150"/>
      <c r="F1" s="150" t="s">
        <v>18</v>
      </c>
      <c r="G1" s="150"/>
    </row>
    <row r="2" spans="1:7" x14ac:dyDescent="0.25">
      <c r="A2" s="149"/>
      <c r="B2" t="s">
        <v>107</v>
      </c>
      <c r="C2" t="s">
        <v>108</v>
      </c>
      <c r="D2" t="s">
        <v>107</v>
      </c>
      <c r="E2" t="s">
        <v>108</v>
      </c>
      <c r="F2" t="s">
        <v>107</v>
      </c>
      <c r="G2" t="s">
        <v>108</v>
      </c>
    </row>
    <row r="3" spans="1:7" x14ac:dyDescent="0.25">
      <c r="A3" t="s">
        <v>96</v>
      </c>
      <c r="B3">
        <v>2</v>
      </c>
      <c r="C3">
        <v>0</v>
      </c>
      <c r="D3">
        <v>2</v>
      </c>
      <c r="E3">
        <v>0</v>
      </c>
      <c r="F3">
        <v>1</v>
      </c>
      <c r="G3">
        <v>1</v>
      </c>
    </row>
    <row r="4" spans="1:7" x14ac:dyDescent="0.25">
      <c r="A4" t="s">
        <v>97</v>
      </c>
      <c r="B4">
        <v>0</v>
      </c>
      <c r="C4">
        <v>2</v>
      </c>
      <c r="D4">
        <v>0</v>
      </c>
      <c r="E4">
        <v>2</v>
      </c>
      <c r="F4">
        <v>0</v>
      </c>
      <c r="G4">
        <v>2</v>
      </c>
    </row>
    <row r="5" spans="1:7" x14ac:dyDescent="0.25">
      <c r="A5" t="s">
        <v>56</v>
      </c>
      <c r="B5">
        <v>3</v>
      </c>
      <c r="C5">
        <v>61</v>
      </c>
      <c r="D5">
        <v>0</v>
      </c>
      <c r="E5">
        <v>3</v>
      </c>
      <c r="F5">
        <v>0</v>
      </c>
      <c r="G5">
        <v>2</v>
      </c>
    </row>
    <row r="6" spans="1:7" x14ac:dyDescent="0.25">
      <c r="A6" t="s">
        <v>94</v>
      </c>
      <c r="B6">
        <v>0</v>
      </c>
      <c r="C6">
        <v>1</v>
      </c>
    </row>
    <row r="7" spans="1:7" x14ac:dyDescent="0.25">
      <c r="A7" t="s">
        <v>103</v>
      </c>
      <c r="B7">
        <v>4</v>
      </c>
      <c r="C7">
        <v>25</v>
      </c>
      <c r="D7">
        <v>1</v>
      </c>
      <c r="E7">
        <v>25</v>
      </c>
      <c r="F7">
        <v>3</v>
      </c>
      <c r="G7">
        <v>20</v>
      </c>
    </row>
    <row r="8" spans="1:7" x14ac:dyDescent="0.25">
      <c r="A8" t="s">
        <v>104</v>
      </c>
      <c r="B8">
        <v>3</v>
      </c>
      <c r="C8">
        <v>1</v>
      </c>
      <c r="D8">
        <v>1</v>
      </c>
      <c r="E8">
        <v>0</v>
      </c>
    </row>
    <row r="9" spans="1:7" x14ac:dyDescent="0.25">
      <c r="A9" t="s">
        <v>95</v>
      </c>
      <c r="B9">
        <v>2</v>
      </c>
      <c r="C9">
        <v>0</v>
      </c>
      <c r="D9">
        <v>2</v>
      </c>
      <c r="E9">
        <v>0</v>
      </c>
      <c r="F9">
        <v>2</v>
      </c>
      <c r="G9">
        <v>0</v>
      </c>
    </row>
    <row r="10" spans="1:7" x14ac:dyDescent="0.25">
      <c r="A10" t="s">
        <v>105</v>
      </c>
      <c r="B10">
        <v>5</v>
      </c>
      <c r="C10">
        <v>36</v>
      </c>
      <c r="D10">
        <v>8</v>
      </c>
      <c r="E10">
        <v>27</v>
      </c>
      <c r="F10">
        <v>4</v>
      </c>
      <c r="G10">
        <v>17</v>
      </c>
    </row>
    <row r="11" spans="1:7" x14ac:dyDescent="0.25">
      <c r="A11" t="s">
        <v>106</v>
      </c>
      <c r="B11">
        <v>1</v>
      </c>
      <c r="C11">
        <v>11</v>
      </c>
      <c r="D11">
        <v>1</v>
      </c>
      <c r="E11">
        <v>10</v>
      </c>
      <c r="F11">
        <v>0</v>
      </c>
      <c r="G11">
        <v>11</v>
      </c>
    </row>
  </sheetData>
  <mergeCells count="4">
    <mergeCell ref="B1:C1"/>
    <mergeCell ref="D1:E1"/>
    <mergeCell ref="F1:G1"/>
    <mergeCell ref="A1:A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DFDF-4983-4170-8D41-9BF0875DE57B}">
  <dimension ref="A1:N9"/>
  <sheetViews>
    <sheetView workbookViewId="0">
      <selection activeCell="K5" sqref="K5"/>
    </sheetView>
  </sheetViews>
  <sheetFormatPr defaultRowHeight="15" x14ac:dyDescent="0.25"/>
  <cols>
    <col min="1" max="1" width="12.85546875" bestFit="1" customWidth="1"/>
    <col min="2" max="2" width="12.85546875" customWidth="1"/>
    <col min="3" max="4" width="13.28515625" bestFit="1" customWidth="1"/>
    <col min="5" max="5" width="13.7109375" bestFit="1" customWidth="1"/>
    <col min="6" max="6" width="23.7109375" bestFit="1" customWidth="1"/>
    <col min="7" max="7" width="23.7109375" customWidth="1"/>
    <col min="8" max="8" width="14.42578125" bestFit="1" customWidth="1"/>
    <col min="9" max="9" width="14.28515625" bestFit="1" customWidth="1"/>
    <col min="10" max="10" width="14.28515625" customWidth="1"/>
    <col min="11" max="11" width="12.42578125" bestFit="1" customWidth="1"/>
    <col min="12" max="12" width="10.5703125" bestFit="1" customWidth="1"/>
    <col min="13" max="13" width="14.28515625" bestFit="1" customWidth="1"/>
  </cols>
  <sheetData>
    <row r="1" spans="1:14" x14ac:dyDescent="0.25">
      <c r="A1" s="110" t="s">
        <v>77</v>
      </c>
      <c r="B1" s="110" t="s">
        <v>27</v>
      </c>
      <c r="C1" s="110" t="s">
        <v>29</v>
      </c>
      <c r="D1" s="110" t="s">
        <v>31</v>
      </c>
      <c r="E1" s="110" t="s">
        <v>92</v>
      </c>
      <c r="F1" s="110" t="s">
        <v>93</v>
      </c>
      <c r="G1" s="110" t="s">
        <v>95</v>
      </c>
      <c r="H1" s="110" t="s">
        <v>56</v>
      </c>
      <c r="I1" s="110" t="s">
        <v>94</v>
      </c>
      <c r="J1" s="110" t="s">
        <v>72</v>
      </c>
      <c r="K1" s="110" t="s">
        <v>43</v>
      </c>
      <c r="L1" s="110" t="s">
        <v>46</v>
      </c>
      <c r="M1" s="110" t="s">
        <v>78</v>
      </c>
      <c r="N1" s="114" t="s">
        <v>123</v>
      </c>
    </row>
    <row r="2" spans="1:14" x14ac:dyDescent="0.25">
      <c r="A2" s="74" t="s">
        <v>73</v>
      </c>
      <c r="B2" s="9"/>
      <c r="C2" s="9"/>
      <c r="D2" s="9">
        <v>0</v>
      </c>
      <c r="E2" s="9"/>
      <c r="F2" s="9"/>
      <c r="G2" s="9"/>
      <c r="H2" s="9">
        <v>74494</v>
      </c>
      <c r="I2" s="9"/>
      <c r="J2" s="9">
        <v>24303</v>
      </c>
      <c r="K2" s="9"/>
      <c r="L2" s="9"/>
      <c r="M2" s="9">
        <f>SUM(B2:L2)</f>
        <v>98797</v>
      </c>
      <c r="N2" s="145">
        <f>M2/$M$8</f>
        <v>2.6956536074075059E-3</v>
      </c>
    </row>
    <row r="3" spans="1:14" x14ac:dyDescent="0.25">
      <c r="A3" s="74" t="s">
        <v>79</v>
      </c>
      <c r="B3" s="9">
        <v>17206313.734017961</v>
      </c>
      <c r="C3" s="9">
        <v>687428.82233107148</v>
      </c>
      <c r="D3" s="9">
        <v>961907.48317953129</v>
      </c>
      <c r="E3" s="9">
        <v>2215273</v>
      </c>
      <c r="F3" s="9">
        <v>124478.93324165184</v>
      </c>
      <c r="G3" s="9">
        <v>10673554.91</v>
      </c>
      <c r="H3" s="9">
        <v>790110.02722978778</v>
      </c>
      <c r="I3" s="9">
        <v>50432.6</v>
      </c>
      <c r="J3" s="9"/>
      <c r="K3" s="9"/>
      <c r="L3" s="9"/>
      <c r="M3" s="9">
        <f t="shared" ref="M3:M8" si="0">SUM(B3:L3)</f>
        <v>32709499.510000005</v>
      </c>
      <c r="N3" s="145">
        <f t="shared" ref="N3:N8" si="1">M3/$M$8</f>
        <v>0.89247123243241755</v>
      </c>
    </row>
    <row r="4" spans="1:14" x14ac:dyDescent="0.25">
      <c r="A4" s="74" t="s">
        <v>15</v>
      </c>
      <c r="B4" s="9">
        <v>81167</v>
      </c>
      <c r="C4" s="9">
        <v>425062</v>
      </c>
      <c r="D4" s="9">
        <v>578591</v>
      </c>
      <c r="E4" s="9"/>
      <c r="F4" s="9"/>
      <c r="G4" s="9"/>
      <c r="H4" s="9">
        <v>4293</v>
      </c>
      <c r="I4" s="9"/>
      <c r="J4" s="9">
        <v>115684</v>
      </c>
      <c r="K4" s="9">
        <v>1799890</v>
      </c>
      <c r="L4" s="9">
        <v>56594</v>
      </c>
      <c r="M4" s="9">
        <f t="shared" si="0"/>
        <v>3061281</v>
      </c>
      <c r="N4" s="145">
        <f t="shared" si="1"/>
        <v>8.35263537449321E-2</v>
      </c>
    </row>
    <row r="5" spans="1:14" x14ac:dyDescent="0.25">
      <c r="A5" s="74" t="s">
        <v>16</v>
      </c>
      <c r="B5" s="9"/>
      <c r="C5" s="9"/>
      <c r="D5" s="9">
        <v>287414</v>
      </c>
      <c r="E5" s="9"/>
      <c r="F5" s="9"/>
      <c r="G5" s="9"/>
      <c r="H5" s="9">
        <v>259810</v>
      </c>
      <c r="I5" s="9"/>
      <c r="J5" s="9"/>
      <c r="K5" s="9"/>
      <c r="L5" s="9"/>
      <c r="M5" s="9">
        <f t="shared" si="0"/>
        <v>547224</v>
      </c>
      <c r="N5" s="145">
        <f t="shared" si="1"/>
        <v>1.4930882007145612E-2</v>
      </c>
    </row>
    <row r="6" spans="1:14" x14ac:dyDescent="0.25">
      <c r="A6" s="74" t="s">
        <v>76</v>
      </c>
      <c r="B6" s="9"/>
      <c r="C6" s="9"/>
      <c r="D6" s="9"/>
      <c r="E6" s="9"/>
      <c r="F6" s="9"/>
      <c r="G6" s="9"/>
      <c r="H6" s="9">
        <v>52685</v>
      </c>
      <c r="I6" s="9"/>
      <c r="J6" s="9">
        <v>32798</v>
      </c>
      <c r="K6" s="9"/>
      <c r="L6" s="9"/>
      <c r="M6" s="9">
        <f t="shared" si="0"/>
        <v>85483</v>
      </c>
      <c r="N6" s="145">
        <f t="shared" si="1"/>
        <v>2.3323841545999963E-3</v>
      </c>
    </row>
    <row r="7" spans="1:14" x14ac:dyDescent="0.25">
      <c r="A7" s="74" t="s">
        <v>19</v>
      </c>
      <c r="B7" s="9"/>
      <c r="C7" s="9"/>
      <c r="D7" s="9"/>
      <c r="E7" s="9"/>
      <c r="F7" s="9"/>
      <c r="G7" s="9"/>
      <c r="H7" s="9">
        <v>85529</v>
      </c>
      <c r="I7" s="9"/>
      <c r="J7" s="9">
        <v>62667</v>
      </c>
      <c r="K7" s="9"/>
      <c r="L7" s="9"/>
      <c r="M7" s="9">
        <f t="shared" si="0"/>
        <v>148196</v>
      </c>
      <c r="N7" s="145">
        <f t="shared" si="1"/>
        <v>4.0434940534971988E-3</v>
      </c>
    </row>
    <row r="8" spans="1:14" x14ac:dyDescent="0.25">
      <c r="A8" s="111" t="s">
        <v>78</v>
      </c>
      <c r="B8" s="113">
        <f t="shared" ref="B8:K8" si="2">SUM(B2:B7)</f>
        <v>17287480.734017961</v>
      </c>
      <c r="C8" s="113">
        <f t="shared" si="2"/>
        <v>1112490.8223310714</v>
      </c>
      <c r="D8" s="113">
        <f t="shared" si="2"/>
        <v>1827912.4831795313</v>
      </c>
      <c r="E8" s="113">
        <f t="shared" si="2"/>
        <v>2215273</v>
      </c>
      <c r="F8" s="113">
        <f t="shared" si="2"/>
        <v>124478.93324165184</v>
      </c>
      <c r="G8" s="113">
        <f t="shared" si="2"/>
        <v>10673554.91</v>
      </c>
      <c r="H8" s="113">
        <f t="shared" si="2"/>
        <v>1266921.0272297878</v>
      </c>
      <c r="I8" s="113">
        <f t="shared" si="2"/>
        <v>50432.6</v>
      </c>
      <c r="J8" s="113">
        <f t="shared" si="2"/>
        <v>235452</v>
      </c>
      <c r="K8" s="113">
        <f t="shared" si="2"/>
        <v>1799890</v>
      </c>
      <c r="L8" s="113">
        <f t="shared" ref="L8" si="3">SUM(L2:L7)</f>
        <v>56594</v>
      </c>
      <c r="M8" s="9">
        <f t="shared" si="0"/>
        <v>36650480.510000005</v>
      </c>
      <c r="N8" s="145">
        <f t="shared" si="1"/>
        <v>1</v>
      </c>
    </row>
    <row r="9" spans="1:14" x14ac:dyDescent="0.25">
      <c r="A9" s="74" t="s">
        <v>123</v>
      </c>
      <c r="B9" s="145">
        <f>B8/$M$8</f>
        <v>0.47168496820392597</v>
      </c>
      <c r="C9" s="145">
        <f t="shared" ref="C9:M9" si="4">C8/$M$8</f>
        <v>3.0354058305662068E-2</v>
      </c>
      <c r="D9" s="145">
        <f t="shared" si="4"/>
        <v>4.9874175119772012E-2</v>
      </c>
      <c r="E9" s="145">
        <f t="shared" si="4"/>
        <v>6.0443218456455637E-2</v>
      </c>
      <c r="F9" s="145">
        <f t="shared" si="4"/>
        <v>3.3963792973379443E-3</v>
      </c>
      <c r="G9" s="145">
        <f t="shared" si="4"/>
        <v>0.29122551086575094</v>
      </c>
      <c r="H9" s="145">
        <f t="shared" si="4"/>
        <v>3.4567651217672607E-2</v>
      </c>
      <c r="I9" s="145">
        <f t="shared" si="4"/>
        <v>1.3760419863046427E-3</v>
      </c>
      <c r="J9" s="145">
        <f t="shared" si="4"/>
        <v>6.4242541086400604E-3</v>
      </c>
      <c r="K9" s="145">
        <f t="shared" si="4"/>
        <v>4.910958805871328E-2</v>
      </c>
      <c r="L9" s="145">
        <f t="shared" si="4"/>
        <v>1.5441543797647742E-3</v>
      </c>
      <c r="M9">
        <f t="shared" si="4"/>
        <v>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358C7-28D2-4A23-9DA9-08E289180436}">
  <dimension ref="A1:N16"/>
  <sheetViews>
    <sheetView workbookViewId="0">
      <selection activeCell="I10" sqref="I10"/>
    </sheetView>
  </sheetViews>
  <sheetFormatPr defaultRowHeight="15" x14ac:dyDescent="0.25"/>
  <cols>
    <col min="1" max="1" width="12.85546875" bestFit="1" customWidth="1"/>
    <col min="2" max="2" width="13.28515625" bestFit="1" customWidth="1"/>
    <col min="3" max="3" width="12.7109375" bestFit="1" customWidth="1"/>
    <col min="4" max="4" width="13.7109375" bestFit="1" customWidth="1"/>
    <col min="5" max="5" width="23.7109375" bestFit="1" customWidth="1"/>
    <col min="6" max="6" width="25.42578125" bestFit="1" customWidth="1"/>
    <col min="7" max="7" width="14.42578125" bestFit="1" customWidth="1"/>
    <col min="8" max="8" width="11.5703125" bestFit="1" customWidth="1"/>
    <col min="9" max="9" width="12.42578125" bestFit="1" customWidth="1"/>
    <col min="10" max="10" width="11.5703125" bestFit="1" customWidth="1"/>
    <col min="11" max="11" width="13.28515625" bestFit="1" customWidth="1"/>
    <col min="12" max="12" width="14.5703125" bestFit="1" customWidth="1"/>
    <col min="13" max="13" width="15.85546875" bestFit="1" customWidth="1"/>
    <col min="14" max="14" width="8.42578125" bestFit="1" customWidth="1"/>
  </cols>
  <sheetData>
    <row r="1" spans="1:14" x14ac:dyDescent="0.25">
      <c r="A1" s="110" t="s">
        <v>77</v>
      </c>
      <c r="B1" s="110" t="s">
        <v>27</v>
      </c>
      <c r="C1" s="110" t="s">
        <v>29</v>
      </c>
      <c r="D1" s="110" t="s">
        <v>31</v>
      </c>
      <c r="E1" s="110" t="s">
        <v>92</v>
      </c>
      <c r="F1" s="110" t="s">
        <v>93</v>
      </c>
      <c r="G1" s="110" t="s">
        <v>95</v>
      </c>
      <c r="H1" s="110" t="s">
        <v>56</v>
      </c>
      <c r="I1" s="110" t="s">
        <v>94</v>
      </c>
      <c r="J1" s="110" t="s">
        <v>72</v>
      </c>
      <c r="K1" s="110" t="s">
        <v>43</v>
      </c>
      <c r="L1" s="110" t="s">
        <v>46</v>
      </c>
      <c r="M1" s="114" t="s">
        <v>98</v>
      </c>
    </row>
    <row r="2" spans="1:14" x14ac:dyDescent="0.25">
      <c r="A2" s="74" t="s">
        <v>73</v>
      </c>
      <c r="B2" s="9"/>
      <c r="C2" s="9"/>
      <c r="D2" s="9">
        <v>0</v>
      </c>
      <c r="E2" s="9"/>
      <c r="F2" s="9"/>
      <c r="G2" s="9"/>
      <c r="H2" s="9">
        <v>6851.1</v>
      </c>
      <c r="I2" s="9"/>
      <c r="J2" s="9">
        <v>10654</v>
      </c>
      <c r="K2" s="9"/>
      <c r="L2" s="9"/>
      <c r="M2" s="9">
        <f>SUM(B2:L2)</f>
        <v>17505.099999999999</v>
      </c>
      <c r="N2" s="145">
        <f>M2/$M$8</f>
        <v>5.4069202142984878E-3</v>
      </c>
    </row>
    <row r="3" spans="1:14" x14ac:dyDescent="0.25">
      <c r="A3" s="74" t="s">
        <v>79</v>
      </c>
      <c r="B3" s="9">
        <v>1071657.0800000003</v>
      </c>
      <c r="C3" s="9">
        <v>61303.380000000034</v>
      </c>
      <c r="D3" s="9">
        <v>62942.860000000095</v>
      </c>
      <c r="E3" s="9">
        <v>76204.500000000175</v>
      </c>
      <c r="F3" s="9">
        <v>13058.430000000026</v>
      </c>
      <c r="G3" s="9">
        <v>101798.37000000002</v>
      </c>
      <c r="H3" s="9">
        <v>86263.769999999975</v>
      </c>
      <c r="I3" s="9">
        <v>888.32000000000494</v>
      </c>
      <c r="J3" s="9"/>
      <c r="K3" s="9"/>
      <c r="L3" s="9"/>
      <c r="M3" s="9">
        <f t="shared" ref="M3:M8" si="0">SUM(B3:L3)</f>
        <v>1474116.7100000009</v>
      </c>
      <c r="N3" s="145">
        <f t="shared" ref="N3:N7" si="1">M3/$M$8</f>
        <v>0.45532053158989022</v>
      </c>
    </row>
    <row r="4" spans="1:14" x14ac:dyDescent="0.25">
      <c r="A4" s="74" t="s">
        <v>15</v>
      </c>
      <c r="B4" s="9">
        <v>13803</v>
      </c>
      <c r="C4" s="9">
        <v>67793</v>
      </c>
      <c r="D4" s="9">
        <v>94125</v>
      </c>
      <c r="E4" s="9"/>
      <c r="F4" s="9"/>
      <c r="G4" s="9"/>
      <c r="H4" s="9">
        <v>987</v>
      </c>
      <c r="I4" s="9"/>
      <c r="J4" s="9">
        <v>82836</v>
      </c>
      <c r="K4" s="9">
        <v>1287167</v>
      </c>
      <c r="L4" s="9">
        <v>16434</v>
      </c>
      <c r="M4" s="9">
        <f t="shared" si="0"/>
        <v>1563145</v>
      </c>
      <c r="N4" s="145">
        <f t="shared" si="1"/>
        <v>0.48281930970857695</v>
      </c>
    </row>
    <row r="5" spans="1:14" x14ac:dyDescent="0.25">
      <c r="A5" s="74" t="s">
        <v>16</v>
      </c>
      <c r="B5" s="9"/>
      <c r="C5" s="9"/>
      <c r="D5" s="9">
        <v>81298.343999999983</v>
      </c>
      <c r="E5" s="9"/>
      <c r="F5" s="9"/>
      <c r="G5" s="9"/>
      <c r="H5" s="9">
        <v>38181.310000000005</v>
      </c>
      <c r="I5" s="9"/>
      <c r="J5" s="9"/>
      <c r="K5" s="9"/>
      <c r="L5" s="9"/>
      <c r="M5" s="9">
        <f t="shared" si="0"/>
        <v>119479.65399999998</v>
      </c>
      <c r="N5" s="145">
        <f t="shared" si="1"/>
        <v>3.6904499626393972E-2</v>
      </c>
    </row>
    <row r="6" spans="1:14" x14ac:dyDescent="0.25">
      <c r="A6" s="74" t="s">
        <v>76</v>
      </c>
      <c r="B6" s="9"/>
      <c r="C6" s="9"/>
      <c r="D6" s="9"/>
      <c r="E6" s="9"/>
      <c r="F6" s="9"/>
      <c r="G6" s="9"/>
      <c r="H6" s="9">
        <v>13380.95</v>
      </c>
      <c r="I6" s="9"/>
      <c r="J6" s="9">
        <v>11561.210000000001</v>
      </c>
      <c r="K6" s="9"/>
      <c r="L6" s="9"/>
      <c r="M6" s="9">
        <f t="shared" si="0"/>
        <v>24942.160000000003</v>
      </c>
      <c r="N6" s="145">
        <f t="shared" si="1"/>
        <v>7.7040559089789377E-3</v>
      </c>
    </row>
    <row r="7" spans="1:14" x14ac:dyDescent="0.25">
      <c r="A7" s="74" t="s">
        <v>19</v>
      </c>
      <c r="B7" s="9"/>
      <c r="C7" s="9"/>
      <c r="D7" s="9"/>
      <c r="E7" s="9"/>
      <c r="F7" s="9"/>
      <c r="G7" s="9"/>
      <c r="H7" s="9">
        <v>11743.02</v>
      </c>
      <c r="I7" s="9"/>
      <c r="J7" s="9">
        <v>26604.57</v>
      </c>
      <c r="K7" s="9"/>
      <c r="L7" s="9"/>
      <c r="M7" s="9">
        <f t="shared" si="0"/>
        <v>38347.589999999997</v>
      </c>
      <c r="N7" s="145">
        <f t="shared" si="1"/>
        <v>1.1844682951861489E-2</v>
      </c>
    </row>
    <row r="8" spans="1:14" x14ac:dyDescent="0.25">
      <c r="A8" s="74" t="s">
        <v>98</v>
      </c>
      <c r="B8" s="9">
        <f>SUM(B2:B7)</f>
        <v>1085460.0800000003</v>
      </c>
      <c r="C8" s="9">
        <f t="shared" ref="C8:L8" si="2">SUM(C2:C7)</f>
        <v>129096.38000000003</v>
      </c>
      <c r="D8" s="9">
        <f t="shared" si="2"/>
        <v>238366.20400000009</v>
      </c>
      <c r="E8" s="9">
        <f t="shared" si="2"/>
        <v>76204.500000000175</v>
      </c>
      <c r="F8" s="9">
        <f t="shared" si="2"/>
        <v>13058.430000000026</v>
      </c>
      <c r="G8" s="9">
        <f t="shared" si="2"/>
        <v>101798.37000000002</v>
      </c>
      <c r="H8" s="9">
        <f t="shared" si="2"/>
        <v>157407.15</v>
      </c>
      <c r="I8" s="9">
        <f t="shared" si="2"/>
        <v>888.32000000000494</v>
      </c>
      <c r="J8" s="9">
        <f t="shared" si="2"/>
        <v>131655.78</v>
      </c>
      <c r="K8" s="9">
        <f t="shared" si="2"/>
        <v>1287167</v>
      </c>
      <c r="L8" s="9">
        <f t="shared" si="2"/>
        <v>16434</v>
      </c>
      <c r="M8" s="9">
        <f t="shared" si="0"/>
        <v>3237536.2140000006</v>
      </c>
    </row>
    <row r="9" spans="1:14" x14ac:dyDescent="0.25">
      <c r="B9" s="145">
        <f>B8/$M$8</f>
        <v>0.33527349448823807</v>
      </c>
      <c r="C9" s="145">
        <f t="shared" ref="C9:M9" si="3">C8/$M$8</f>
        <v>3.9874883697594371E-2</v>
      </c>
      <c r="D9" s="145">
        <f t="shared" si="3"/>
        <v>7.3625803155263195E-2</v>
      </c>
      <c r="E9" s="145">
        <f t="shared" si="3"/>
        <v>2.3537806209076789E-2</v>
      </c>
      <c r="F9" s="145">
        <f t="shared" si="3"/>
        <v>4.0334467745972288E-3</v>
      </c>
      <c r="G9" s="145">
        <f t="shared" si="3"/>
        <v>3.1443160252477106E-2</v>
      </c>
      <c r="H9" s="145">
        <f t="shared" si="3"/>
        <v>4.8619425265214955E-2</v>
      </c>
      <c r="I9" s="145">
        <f t="shared" si="3"/>
        <v>2.7438148681045293E-4</v>
      </c>
      <c r="J9" s="145">
        <f t="shared" si="3"/>
        <v>4.0665423117333496E-2</v>
      </c>
      <c r="K9" s="145">
        <f t="shared" si="3"/>
        <v>0.39757609333725269</v>
      </c>
      <c r="L9" s="145">
        <f t="shared" si="3"/>
        <v>5.0760822161416592E-3</v>
      </c>
      <c r="M9" s="147">
        <f t="shared" si="3"/>
        <v>1</v>
      </c>
    </row>
    <row r="16" spans="1:14" x14ac:dyDescent="0.25">
      <c r="B16" s="11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71EAB-FF4D-4B2E-AF8F-E46CE3F60B1B}">
  <dimension ref="A1:N19"/>
  <sheetViews>
    <sheetView workbookViewId="0">
      <selection activeCell="N7" sqref="N2:N7"/>
    </sheetView>
  </sheetViews>
  <sheetFormatPr defaultRowHeight="15" x14ac:dyDescent="0.25"/>
  <cols>
    <col min="1" max="1" width="15.140625" bestFit="1" customWidth="1"/>
    <col min="2" max="2" width="16.28515625" bestFit="1" customWidth="1"/>
    <col min="3" max="3" width="15.85546875" bestFit="1" customWidth="1"/>
    <col min="4" max="5" width="15.28515625" bestFit="1" customWidth="1"/>
    <col min="6" max="6" width="14.28515625" bestFit="1" customWidth="1"/>
    <col min="7" max="7" width="15.28515625" bestFit="1" customWidth="1"/>
    <col min="8" max="8" width="23.7109375" bestFit="1" customWidth="1"/>
    <col min="9" max="9" width="14.42578125" bestFit="1" customWidth="1"/>
    <col min="10" max="10" width="14.28515625" bestFit="1" customWidth="1"/>
    <col min="11" max="11" width="15.28515625" bestFit="1" customWidth="1"/>
    <col min="12" max="12" width="12.5703125" bestFit="1" customWidth="1"/>
    <col min="13" max="13" width="13.7109375" bestFit="1" customWidth="1"/>
  </cols>
  <sheetData>
    <row r="1" spans="1:14" x14ac:dyDescent="0.25">
      <c r="A1" s="110" t="s">
        <v>99</v>
      </c>
      <c r="B1" s="110" t="s">
        <v>27</v>
      </c>
      <c r="C1" s="110" t="s">
        <v>29</v>
      </c>
      <c r="D1" s="110" t="s">
        <v>31</v>
      </c>
      <c r="E1" s="110" t="s">
        <v>92</v>
      </c>
      <c r="F1" s="110" t="s">
        <v>93</v>
      </c>
      <c r="G1" s="110" t="s">
        <v>95</v>
      </c>
      <c r="H1" s="110" t="s">
        <v>56</v>
      </c>
      <c r="I1" s="110" t="s">
        <v>94</v>
      </c>
      <c r="J1" s="110" t="s">
        <v>72</v>
      </c>
      <c r="K1" s="110" t="s">
        <v>43</v>
      </c>
      <c r="L1" s="110" t="s">
        <v>46</v>
      </c>
      <c r="M1" s="114" t="s">
        <v>98</v>
      </c>
    </row>
    <row r="2" spans="1:14" x14ac:dyDescent="0.25">
      <c r="A2" s="74" t="s">
        <v>73</v>
      </c>
      <c r="B2" s="116"/>
      <c r="C2" s="116"/>
      <c r="D2" s="116"/>
      <c r="E2" s="116"/>
      <c r="F2" s="116"/>
      <c r="G2" s="116"/>
      <c r="H2" s="116">
        <v>1900344.2000000002</v>
      </c>
      <c r="I2" s="116"/>
      <c r="J2" s="116">
        <v>957957.8</v>
      </c>
      <c r="K2" s="116"/>
      <c r="L2" s="116"/>
      <c r="M2" s="78">
        <f>SUM(B2:L2)</f>
        <v>2858302</v>
      </c>
      <c r="N2" s="145">
        <f>M2/$M$8</f>
        <v>5.2223355857645764E-3</v>
      </c>
    </row>
    <row r="3" spans="1:14" x14ac:dyDescent="0.25">
      <c r="A3" s="74" t="s">
        <v>79</v>
      </c>
      <c r="B3" s="116">
        <v>234977269.80030495</v>
      </c>
      <c r="C3" s="116">
        <v>14157101.595435927</v>
      </c>
      <c r="D3" s="116">
        <v>15263665.677429911</v>
      </c>
      <c r="E3" s="116">
        <v>19190999.298374657</v>
      </c>
      <c r="F3" s="116">
        <v>3359605.6697924449</v>
      </c>
      <c r="G3" s="116">
        <v>85108480.370000005</v>
      </c>
      <c r="H3" s="116">
        <v>22451371.261465825</v>
      </c>
      <c r="I3" s="116">
        <v>8939965.3900000006</v>
      </c>
      <c r="J3" s="116"/>
      <c r="K3" s="116"/>
      <c r="L3" s="116"/>
      <c r="M3" s="78">
        <f t="shared" ref="M3:M7" si="0">SUM(B3:L3)</f>
        <v>403448459.06280375</v>
      </c>
      <c r="N3" s="145">
        <f t="shared" ref="N3:N8" si="1">M3/$M$8</f>
        <v>0.73713108159514384</v>
      </c>
    </row>
    <row r="4" spans="1:14" x14ac:dyDescent="0.25">
      <c r="A4" s="74" t="s">
        <v>15</v>
      </c>
      <c r="B4" s="116">
        <v>1254394</v>
      </c>
      <c r="C4" s="116">
        <v>6461278.457068217</v>
      </c>
      <c r="D4" s="116">
        <v>8737584.7604830321</v>
      </c>
      <c r="E4" s="116"/>
      <c r="F4" s="116"/>
      <c r="G4" s="116"/>
      <c r="H4" s="116">
        <v>303391.7824487511</v>
      </c>
      <c r="I4" s="116"/>
      <c r="J4" s="116">
        <v>7562863</v>
      </c>
      <c r="K4" s="146">
        <v>82783426</v>
      </c>
      <c r="L4" s="116">
        <v>632074</v>
      </c>
      <c r="M4" s="78">
        <f t="shared" si="0"/>
        <v>107735012</v>
      </c>
      <c r="N4" s="145">
        <f t="shared" si="1"/>
        <v>0.19684007743071713</v>
      </c>
    </row>
    <row r="5" spans="1:14" x14ac:dyDescent="0.25">
      <c r="A5" s="74" t="s">
        <v>16</v>
      </c>
      <c r="B5" s="116"/>
      <c r="C5" s="116"/>
      <c r="D5" s="116">
        <v>12660502.430377927</v>
      </c>
      <c r="E5" s="116"/>
      <c r="F5" s="116"/>
      <c r="G5" s="116"/>
      <c r="H5" s="116">
        <v>8442482.5696220808</v>
      </c>
      <c r="I5" s="116"/>
      <c r="J5" s="116"/>
      <c r="K5" s="116"/>
      <c r="L5" s="116"/>
      <c r="M5" s="78">
        <f t="shared" si="0"/>
        <v>21102985.000000007</v>
      </c>
      <c r="N5" s="145">
        <f t="shared" si="1"/>
        <v>3.855676185768897E-2</v>
      </c>
    </row>
    <row r="6" spans="1:14" x14ac:dyDescent="0.25">
      <c r="A6" s="74" t="s">
        <v>76</v>
      </c>
      <c r="B6" s="116"/>
      <c r="C6" s="116"/>
      <c r="D6" s="116"/>
      <c r="E6" s="116"/>
      <c r="F6" s="116"/>
      <c r="G6" s="116"/>
      <c r="H6" s="116">
        <v>2970841.9388103397</v>
      </c>
      <c r="I6" s="116"/>
      <c r="J6" s="116">
        <v>1151172.3004733501</v>
      </c>
      <c r="K6" s="116"/>
      <c r="L6" s="116"/>
      <c r="M6" s="78">
        <f t="shared" si="0"/>
        <v>4122014.2392836898</v>
      </c>
      <c r="N6" s="145">
        <f t="shared" si="1"/>
        <v>7.5312341546972684E-3</v>
      </c>
    </row>
    <row r="7" spans="1:14" x14ac:dyDescent="0.25">
      <c r="A7" s="74" t="s">
        <v>19</v>
      </c>
      <c r="B7" s="116"/>
      <c r="C7" s="116"/>
      <c r="D7" s="116"/>
      <c r="E7" s="116"/>
      <c r="F7" s="116"/>
      <c r="G7" s="116"/>
      <c r="H7" s="116">
        <v>6931480</v>
      </c>
      <c r="I7" s="116"/>
      <c r="J7" s="116">
        <v>1124292</v>
      </c>
      <c r="K7" s="116"/>
      <c r="L7" s="116"/>
      <c r="M7" s="78">
        <f t="shared" si="0"/>
        <v>8055772</v>
      </c>
      <c r="N7" s="145">
        <f t="shared" si="1"/>
        <v>1.4718509375988217E-2</v>
      </c>
    </row>
    <row r="8" spans="1:14" x14ac:dyDescent="0.25">
      <c r="A8" s="74" t="s">
        <v>98</v>
      </c>
      <c r="B8" s="78">
        <f>SUM(B2:B7)</f>
        <v>236231663.80030495</v>
      </c>
      <c r="C8" s="78">
        <f t="shared" ref="C8:M8" si="2">SUM(C2:C7)</f>
        <v>20618380.052504145</v>
      </c>
      <c r="D8" s="78">
        <f t="shared" si="2"/>
        <v>36661752.868290871</v>
      </c>
      <c r="E8" s="78">
        <f t="shared" si="2"/>
        <v>19190999.298374657</v>
      </c>
      <c r="F8" s="78">
        <f t="shared" si="2"/>
        <v>3359605.6697924449</v>
      </c>
      <c r="G8" s="78">
        <f t="shared" si="2"/>
        <v>85108480.370000005</v>
      </c>
      <c r="H8" s="78">
        <f t="shared" si="2"/>
        <v>42999911.752346992</v>
      </c>
      <c r="I8" s="78">
        <f t="shared" si="2"/>
        <v>8939965.3900000006</v>
      </c>
      <c r="J8" s="78">
        <f t="shared" si="2"/>
        <v>10796285.100473352</v>
      </c>
      <c r="K8" s="78">
        <f t="shared" si="2"/>
        <v>82783426</v>
      </c>
      <c r="L8" s="78">
        <f t="shared" si="2"/>
        <v>632074</v>
      </c>
      <c r="M8" s="78">
        <f t="shared" si="2"/>
        <v>547322544.30208743</v>
      </c>
      <c r="N8">
        <f t="shared" si="1"/>
        <v>1</v>
      </c>
    </row>
    <row r="9" spans="1:14" x14ac:dyDescent="0.25">
      <c r="B9" s="145">
        <f>B8/$M$8</f>
        <v>0.43161325302529474</v>
      </c>
      <c r="C9" s="145">
        <f t="shared" ref="C9:M9" si="3">C8/$M$8</f>
        <v>3.7671351686774483E-2</v>
      </c>
      <c r="D9" s="145">
        <f t="shared" si="3"/>
        <v>6.6983816489853742E-2</v>
      </c>
      <c r="E9" s="145">
        <f t="shared" si="3"/>
        <v>3.5063418268008413E-2</v>
      </c>
      <c r="F9" s="145">
        <f t="shared" si="3"/>
        <v>6.1382555949278696E-3</v>
      </c>
      <c r="G9" s="145">
        <f t="shared" si="3"/>
        <v>0.15549967977022613</v>
      </c>
      <c r="H9" s="145">
        <f t="shared" si="3"/>
        <v>7.8564115803374912E-2</v>
      </c>
      <c r="I9" s="145">
        <f t="shared" si="3"/>
        <v>1.6333998084072533E-2</v>
      </c>
      <c r="J9" s="145">
        <f t="shared" si="3"/>
        <v>1.972563566560212E-2</v>
      </c>
      <c r="K9" s="145">
        <f t="shared" si="3"/>
        <v>0.15125162824337962</v>
      </c>
      <c r="L9" s="145">
        <f t="shared" si="3"/>
        <v>1.1548473684854011E-3</v>
      </c>
      <c r="M9" s="145">
        <f t="shared" si="3"/>
        <v>1</v>
      </c>
    </row>
    <row r="11" spans="1:14" x14ac:dyDescent="0.25"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4"/>
    </row>
    <row r="12" spans="1:14" x14ac:dyDescent="0.25">
      <c r="A12" s="110" t="s">
        <v>49</v>
      </c>
      <c r="B12" s="110" t="s">
        <v>27</v>
      </c>
      <c r="C12" s="110" t="s">
        <v>29</v>
      </c>
      <c r="D12" s="110" t="s">
        <v>31</v>
      </c>
      <c r="E12" s="110" t="s">
        <v>92</v>
      </c>
      <c r="F12" s="110" t="s">
        <v>93</v>
      </c>
      <c r="G12" s="110" t="s">
        <v>95</v>
      </c>
      <c r="H12" s="110" t="s">
        <v>56</v>
      </c>
      <c r="I12" s="110" t="s">
        <v>94</v>
      </c>
      <c r="J12" s="110" t="s">
        <v>72</v>
      </c>
      <c r="K12" s="110" t="s">
        <v>43</v>
      </c>
      <c r="L12" s="110" t="s">
        <v>46</v>
      </c>
      <c r="M12" s="114" t="s">
        <v>98</v>
      </c>
    </row>
    <row r="13" spans="1:14" x14ac:dyDescent="0.25">
      <c r="A13" s="74" t="s">
        <v>73</v>
      </c>
      <c r="B13" s="116"/>
      <c r="C13" s="116"/>
      <c r="D13" s="116">
        <v>0</v>
      </c>
      <c r="E13" s="116"/>
      <c r="F13" s="116"/>
      <c r="G13" s="116"/>
      <c r="H13" s="116">
        <v>204993.99999999965</v>
      </c>
      <c r="I13" s="116"/>
      <c r="J13" s="116">
        <v>38747</v>
      </c>
      <c r="K13" s="116"/>
      <c r="L13" s="116"/>
      <c r="M13" s="78">
        <f>SUM(B13:L13)</f>
        <v>243740.99999999965</v>
      </c>
    </row>
    <row r="14" spans="1:14" x14ac:dyDescent="0.25">
      <c r="A14" s="74" t="s">
        <v>79</v>
      </c>
      <c r="B14" s="116">
        <v>17775049.00842303</v>
      </c>
      <c r="C14" s="116">
        <v>817028.8103673216</v>
      </c>
      <c r="D14" s="116">
        <v>850774.3263412395</v>
      </c>
      <c r="E14" s="116">
        <v>1550235.8824324259</v>
      </c>
      <c r="F14" s="116">
        <v>84164.450941821618</v>
      </c>
      <c r="G14" s="116">
        <v>6809949.2799999993</v>
      </c>
      <c r="H14" s="116">
        <v>2307229.426494142</v>
      </c>
      <c r="I14" s="116">
        <v>147588.18</v>
      </c>
      <c r="J14" s="116"/>
      <c r="K14" s="116"/>
      <c r="L14" s="116"/>
      <c r="M14" s="78">
        <f t="shared" ref="M14:M18" si="4">SUM(B14:L14)</f>
        <v>30342019.364999987</v>
      </c>
    </row>
    <row r="15" spans="1:14" x14ac:dyDescent="0.25">
      <c r="A15" s="74" t="s">
        <v>15</v>
      </c>
      <c r="B15" s="116">
        <v>80927.276999999638</v>
      </c>
      <c r="C15" s="116">
        <v>403265.75299999979</v>
      </c>
      <c r="D15" s="116">
        <v>643183.45599999954</v>
      </c>
      <c r="E15" s="116"/>
      <c r="F15" s="116"/>
      <c r="G15" s="116"/>
      <c r="H15" s="116">
        <v>9817.4480000000021</v>
      </c>
      <c r="I15" s="116"/>
      <c r="J15" s="116">
        <v>488768</v>
      </c>
      <c r="K15" s="146">
        <v>6119189</v>
      </c>
      <c r="L15" s="116">
        <v>338501</v>
      </c>
      <c r="M15" s="78">
        <f t="shared" si="4"/>
        <v>8083651.9339999994</v>
      </c>
    </row>
    <row r="16" spans="1:14" x14ac:dyDescent="0.25">
      <c r="A16" s="74" t="s">
        <v>16</v>
      </c>
      <c r="B16" s="116"/>
      <c r="C16" s="116"/>
      <c r="D16" s="116">
        <v>335624.58830575069</v>
      </c>
      <c r="E16" s="116"/>
      <c r="F16" s="116"/>
      <c r="G16" s="116"/>
      <c r="H16" s="116">
        <v>567814.44093496318</v>
      </c>
      <c r="I16" s="116"/>
      <c r="J16" s="116"/>
      <c r="K16" s="116"/>
      <c r="L16" s="116"/>
      <c r="M16" s="78">
        <f t="shared" si="4"/>
        <v>903439.02924071392</v>
      </c>
    </row>
    <row r="17" spans="1:13" x14ac:dyDescent="0.25">
      <c r="A17" s="74" t="s">
        <v>76</v>
      </c>
      <c r="B17" s="116"/>
      <c r="C17" s="116"/>
      <c r="D17" s="116"/>
      <c r="E17" s="116"/>
      <c r="F17" s="116"/>
      <c r="G17" s="116"/>
      <c r="H17" s="116">
        <v>69226.545304153187</v>
      </c>
      <c r="I17" s="116"/>
      <c r="J17" s="116">
        <v>72926.42</v>
      </c>
      <c r="K17" s="116"/>
      <c r="L17" s="116"/>
      <c r="M17" s="78">
        <f t="shared" si="4"/>
        <v>142152.96530415319</v>
      </c>
    </row>
    <row r="18" spans="1:13" x14ac:dyDescent="0.25">
      <c r="A18" s="74" t="s">
        <v>19</v>
      </c>
      <c r="B18" s="116"/>
      <c r="C18" s="116"/>
      <c r="D18" s="116"/>
      <c r="E18" s="116"/>
      <c r="F18" s="116"/>
      <c r="G18" s="116"/>
      <c r="H18" s="116">
        <v>235250</v>
      </c>
      <c r="I18" s="116"/>
      <c r="J18" s="116">
        <v>188201</v>
      </c>
      <c r="K18" s="116"/>
      <c r="L18" s="116"/>
      <c r="M18" s="78">
        <f t="shared" si="4"/>
        <v>423451</v>
      </c>
    </row>
    <row r="19" spans="1:13" x14ac:dyDescent="0.25">
      <c r="A19" s="74" t="s">
        <v>98</v>
      </c>
      <c r="B19" s="116">
        <f>SUM(B13:B18)</f>
        <v>17855976.285423029</v>
      </c>
      <c r="C19" s="116">
        <f t="shared" ref="C19:M19" si="5">SUM(C13:C18)</f>
        <v>1220294.5633673214</v>
      </c>
      <c r="D19" s="116">
        <f t="shared" si="5"/>
        <v>1829582.3706469897</v>
      </c>
      <c r="E19" s="116">
        <f t="shared" si="5"/>
        <v>1550235.8824324259</v>
      </c>
      <c r="F19" s="116">
        <f t="shared" si="5"/>
        <v>84164.450941821618</v>
      </c>
      <c r="G19" s="116">
        <f t="shared" si="5"/>
        <v>6809949.2799999993</v>
      </c>
      <c r="H19" s="116">
        <f t="shared" si="5"/>
        <v>3394331.8607332576</v>
      </c>
      <c r="I19" s="116">
        <f t="shared" si="5"/>
        <v>147588.18</v>
      </c>
      <c r="J19" s="116">
        <f t="shared" si="5"/>
        <v>788642.42</v>
      </c>
      <c r="K19" s="116">
        <f t="shared" si="5"/>
        <v>6119189</v>
      </c>
      <c r="L19" s="116">
        <f t="shared" si="5"/>
        <v>338501</v>
      </c>
      <c r="M19" s="116">
        <f t="shared" si="5"/>
        <v>40138455.293544851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EBA1-CBF9-4147-A733-921665430F8F}">
  <sheetPr>
    <pageSetUpPr fitToPage="1"/>
  </sheetPr>
  <dimension ref="A1:Q92"/>
  <sheetViews>
    <sheetView workbookViewId="0">
      <selection activeCell="E1" sqref="E1:G1048576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3.85546875" bestFit="1" customWidth="1"/>
    <col min="6" max="6" width="13.5703125" bestFit="1" customWidth="1"/>
    <col min="7" max="7" width="13.85546875" bestFit="1" customWidth="1"/>
    <col min="8" max="10" width="11.7109375" customWidth="1"/>
    <col min="11" max="11" width="14.140625" customWidth="1"/>
    <col min="12" max="12" width="11.7109375" customWidth="1"/>
    <col min="13" max="13" width="40.7109375" customWidth="1"/>
    <col min="14" max="14" width="15.7109375" bestFit="1" customWidth="1"/>
    <col min="15" max="15" width="13.7109375" bestFit="1" customWidth="1"/>
  </cols>
  <sheetData>
    <row r="1" spans="1:17" ht="18.75" x14ac:dyDescent="0.3">
      <c r="A1" s="15" t="s">
        <v>26</v>
      </c>
    </row>
    <row r="2" spans="1:17" ht="46.5" x14ac:dyDescent="0.7">
      <c r="A2" s="118" t="s">
        <v>59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7" ht="15" customHeight="1" thickBot="1" x14ac:dyDescent="0.75">
      <c r="A3" s="56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ht="48" x14ac:dyDescent="0.25">
      <c r="A4" s="17" t="s">
        <v>2</v>
      </c>
      <c r="B4" s="18" t="s">
        <v>3</v>
      </c>
      <c r="C4" s="19" t="s">
        <v>4</v>
      </c>
      <c r="D4" s="19" t="s">
        <v>5</v>
      </c>
      <c r="E4" s="20" t="s">
        <v>6</v>
      </c>
      <c r="F4" s="71" t="s">
        <v>7</v>
      </c>
      <c r="G4" s="20" t="s">
        <v>8</v>
      </c>
      <c r="H4" s="21" t="s">
        <v>9</v>
      </c>
      <c r="I4" s="21" t="s">
        <v>10</v>
      </c>
      <c r="J4" s="22" t="s">
        <v>11</v>
      </c>
      <c r="K4" s="23" t="s">
        <v>12</v>
      </c>
      <c r="L4" s="23" t="s">
        <v>13</v>
      </c>
      <c r="M4" s="57" t="s">
        <v>90</v>
      </c>
    </row>
    <row r="5" spans="1:17" x14ac:dyDescent="0.25">
      <c r="A5" t="s">
        <v>15</v>
      </c>
      <c r="B5" s="4">
        <v>67</v>
      </c>
      <c r="C5" t="s">
        <v>27</v>
      </c>
      <c r="D5" s="4" t="s">
        <v>14</v>
      </c>
      <c r="E5" s="5">
        <v>1063660</v>
      </c>
      <c r="F5" s="75">
        <v>72983.228999999628</v>
      </c>
      <c r="G5" s="5">
        <f>E5-F5</f>
        <v>990676.77100000042</v>
      </c>
      <c r="H5" s="6">
        <v>72073</v>
      </c>
      <c r="I5" s="7">
        <v>11819</v>
      </c>
      <c r="J5" s="5">
        <f>G5/H5</f>
        <v>13.745463224785986</v>
      </c>
      <c r="K5" s="25">
        <f t="shared" ref="K5:K36" si="0">+IF(D5="Weekday",J5/$G$86,IF(D5="Saturday",J5/$G$87,IF(D5="Sunday",J5/$G$88,"NA")))</f>
        <v>0.88514769633190782</v>
      </c>
      <c r="L5" s="36">
        <f>H5/I5</f>
        <v>6.0980624418309501</v>
      </c>
      <c r="M5" s="26"/>
    </row>
    <row r="6" spans="1:17" x14ac:dyDescent="0.25">
      <c r="A6" t="s">
        <v>15</v>
      </c>
      <c r="B6" s="4">
        <v>67</v>
      </c>
      <c r="C6" t="s">
        <v>27</v>
      </c>
      <c r="D6" s="4" t="s">
        <v>17</v>
      </c>
      <c r="E6" s="5">
        <v>190734</v>
      </c>
      <c r="F6" s="75">
        <v>7944.0480000000089</v>
      </c>
      <c r="G6" s="5">
        <f t="shared" ref="G6:G69" si="1">E6-F6</f>
        <v>182789.95199999999</v>
      </c>
      <c r="H6" s="6">
        <v>9094</v>
      </c>
      <c r="I6" s="7">
        <v>1984</v>
      </c>
      <c r="J6" s="5">
        <f t="shared" ref="J6:J69" si="2">G6/H6</f>
        <v>20.100060699362217</v>
      </c>
      <c r="K6" s="25">
        <f t="shared" si="0"/>
        <v>1.1764978464941611</v>
      </c>
      <c r="L6" s="36">
        <f t="shared" ref="L6:L69" si="3">H6/I6</f>
        <v>4.58366935483871</v>
      </c>
      <c r="M6" s="26"/>
    </row>
    <row r="7" spans="1:17" x14ac:dyDescent="0.25">
      <c r="A7" t="s">
        <v>79</v>
      </c>
      <c r="B7" s="4">
        <v>2</v>
      </c>
      <c r="C7" t="str">
        <f>VLOOKUP(B7,'[1]Route types'!A:B,2,FALSE)</f>
        <v>Core Local</v>
      </c>
      <c r="D7" s="4" t="s">
        <v>14</v>
      </c>
      <c r="E7" s="5">
        <v>7303783.4429012313</v>
      </c>
      <c r="F7" s="75">
        <v>644248.73390352132</v>
      </c>
      <c r="G7" s="5">
        <f t="shared" si="1"/>
        <v>6659534.7089977097</v>
      </c>
      <c r="H7" s="6">
        <v>682014.70891730313</v>
      </c>
      <c r="I7" s="7">
        <v>32211.850000000202</v>
      </c>
      <c r="J7" s="5">
        <f t="shared" si="2"/>
        <v>9.7645030553222334</v>
      </c>
      <c r="K7" s="25">
        <f t="shared" si="0"/>
        <v>0.62879127781296873</v>
      </c>
      <c r="L7" s="36">
        <f t="shared" si="3"/>
        <v>21.172789172844741</v>
      </c>
      <c r="M7" s="26"/>
    </row>
    <row r="8" spans="1:17" x14ac:dyDescent="0.25">
      <c r="A8" t="s">
        <v>79</v>
      </c>
      <c r="B8" s="4">
        <v>3</v>
      </c>
      <c r="C8" t="str">
        <f>VLOOKUP(B8,'[1]Route types'!A:B,2,FALSE)</f>
        <v>Core Local</v>
      </c>
      <c r="D8" s="4" t="s">
        <v>14</v>
      </c>
      <c r="E8" s="5">
        <v>9815123.3046161197</v>
      </c>
      <c r="F8" s="75">
        <v>635225.70279199886</v>
      </c>
      <c r="G8" s="5">
        <f t="shared" si="1"/>
        <v>9179897.6018241215</v>
      </c>
      <c r="H8" s="6">
        <v>606128.95722159324</v>
      </c>
      <c r="I8" s="7">
        <v>45256.510000000068</v>
      </c>
      <c r="J8" s="5">
        <f t="shared" si="2"/>
        <v>15.145122984889937</v>
      </c>
      <c r="K8" s="25">
        <f t="shared" si="0"/>
        <v>0.9752796614788134</v>
      </c>
      <c r="L8" s="36">
        <f t="shared" si="3"/>
        <v>13.39318823350701</v>
      </c>
      <c r="M8" s="26"/>
    </row>
    <row r="9" spans="1:17" x14ac:dyDescent="0.25">
      <c r="A9" t="s">
        <v>79</v>
      </c>
      <c r="B9" s="4">
        <v>4</v>
      </c>
      <c r="C9" t="str">
        <f>VLOOKUP(B9,'[1]Route types'!A:B,2,FALSE)</f>
        <v>Core Local</v>
      </c>
      <c r="D9" s="4" t="s">
        <v>14</v>
      </c>
      <c r="E9" s="5">
        <v>8835480.3101126589</v>
      </c>
      <c r="F9" s="75">
        <v>720879.63634641387</v>
      </c>
      <c r="G9" s="5">
        <f t="shared" si="1"/>
        <v>8114600.6737662451</v>
      </c>
      <c r="H9" s="6">
        <v>524836.52762200229</v>
      </c>
      <c r="I9" s="7">
        <v>40754.440000000126</v>
      </c>
      <c r="J9" s="5">
        <f t="shared" si="2"/>
        <v>15.46119648061261</v>
      </c>
      <c r="K9" s="25">
        <f t="shared" si="0"/>
        <v>0.99563341180612208</v>
      </c>
      <c r="L9" s="36">
        <f t="shared" si="3"/>
        <v>12.878020839496278</v>
      </c>
      <c r="M9" s="26"/>
    </row>
    <row r="10" spans="1:17" x14ac:dyDescent="0.25">
      <c r="A10" t="s">
        <v>79</v>
      </c>
      <c r="B10" s="4">
        <v>5</v>
      </c>
      <c r="C10" t="str">
        <f>VLOOKUP(B10,'[1]Route types'!A:B,2,FALSE)</f>
        <v>Core Local</v>
      </c>
      <c r="D10" s="4" t="s">
        <v>14</v>
      </c>
      <c r="E10" s="5">
        <v>14388617.454670873</v>
      </c>
      <c r="F10" s="75">
        <v>1452855.4534670364</v>
      </c>
      <c r="G10" s="5">
        <f t="shared" si="1"/>
        <v>12935762.001203837</v>
      </c>
      <c r="H10" s="6">
        <v>1415371.6136075116</v>
      </c>
      <c r="I10" s="7">
        <v>67680.1899999999</v>
      </c>
      <c r="J10" s="5">
        <f t="shared" si="2"/>
        <v>9.1394810216894573</v>
      </c>
      <c r="K10" s="25">
        <f t="shared" si="0"/>
        <v>0.58854259327033853</v>
      </c>
      <c r="L10" s="36">
        <f t="shared" si="3"/>
        <v>20.912642438023795</v>
      </c>
      <c r="M10" s="27"/>
      <c r="N10" s="10"/>
      <c r="O10" s="10"/>
      <c r="P10" s="10"/>
      <c r="Q10" s="10"/>
    </row>
    <row r="11" spans="1:17" x14ac:dyDescent="0.25">
      <c r="A11" t="s">
        <v>79</v>
      </c>
      <c r="B11" s="4">
        <v>6</v>
      </c>
      <c r="C11" t="str">
        <f>VLOOKUP(B11,'[1]Route types'!A:B,2,FALSE)</f>
        <v>Core Local</v>
      </c>
      <c r="D11" s="4" t="s">
        <v>14</v>
      </c>
      <c r="E11" s="5">
        <v>12734768.164051913</v>
      </c>
      <c r="F11" s="75">
        <v>1003668.5715844785</v>
      </c>
      <c r="G11" s="5">
        <f t="shared" si="1"/>
        <v>11731099.592467435</v>
      </c>
      <c r="H11" s="6">
        <v>773043.40760667273</v>
      </c>
      <c r="I11" s="7">
        <v>57105.899999999878</v>
      </c>
      <c r="J11" s="5">
        <f t="shared" si="2"/>
        <v>15.175214583081033</v>
      </c>
      <c r="K11" s="25">
        <f t="shared" si="0"/>
        <v>0.9772174287538925</v>
      </c>
      <c r="L11" s="36">
        <f t="shared" si="3"/>
        <v>13.537014697372328</v>
      </c>
      <c r="M11" s="26"/>
      <c r="N11" s="11"/>
      <c r="O11" s="12"/>
      <c r="P11" s="11"/>
      <c r="Q11" s="13"/>
    </row>
    <row r="12" spans="1:17" x14ac:dyDescent="0.25">
      <c r="A12" t="s">
        <v>79</v>
      </c>
      <c r="B12" s="4">
        <v>7</v>
      </c>
      <c r="C12" t="str">
        <f>VLOOKUP(B12,'[1]Route types'!A:B,2,FALSE)</f>
        <v>Core Local</v>
      </c>
      <c r="D12" s="4" t="s">
        <v>14</v>
      </c>
      <c r="E12" s="5">
        <v>3682927.313191731</v>
      </c>
      <c r="F12" s="75">
        <v>172504.49781858185</v>
      </c>
      <c r="G12" s="5">
        <f t="shared" si="1"/>
        <v>3510422.8153731492</v>
      </c>
      <c r="H12" s="6">
        <v>143500.02974947056</v>
      </c>
      <c r="I12" s="7">
        <v>18293.279999999966</v>
      </c>
      <c r="J12" s="5">
        <f t="shared" si="2"/>
        <v>24.462871690701519</v>
      </c>
      <c r="K12" s="25">
        <f t="shared" si="0"/>
        <v>1.575301913699211</v>
      </c>
      <c r="L12" s="36">
        <f t="shared" si="3"/>
        <v>7.8444122513551875</v>
      </c>
      <c r="M12" s="26"/>
      <c r="N12" s="12"/>
      <c r="O12" s="12"/>
      <c r="P12" s="11"/>
      <c r="Q12" s="13"/>
    </row>
    <row r="13" spans="1:17" x14ac:dyDescent="0.25">
      <c r="A13" t="s">
        <v>79</v>
      </c>
      <c r="B13" s="4">
        <v>9</v>
      </c>
      <c r="C13" t="str">
        <f>VLOOKUP(B13,'[1]Route types'!A:B,2,FALSE)</f>
        <v>Core Local</v>
      </c>
      <c r="D13" s="4" t="s">
        <v>14</v>
      </c>
      <c r="E13" s="5">
        <v>5142305.4421894345</v>
      </c>
      <c r="F13" s="75">
        <v>349029.51252200466</v>
      </c>
      <c r="G13" s="5">
        <f t="shared" si="1"/>
        <v>4793275.92966743</v>
      </c>
      <c r="H13" s="6">
        <v>270132.07421139092</v>
      </c>
      <c r="I13" s="7">
        <v>21786.879999999954</v>
      </c>
      <c r="J13" s="5">
        <f t="shared" si="2"/>
        <v>17.744193997179575</v>
      </c>
      <c r="K13" s="25">
        <f t="shared" si="0"/>
        <v>1.1426484639345076</v>
      </c>
      <c r="L13" s="36">
        <f t="shared" si="3"/>
        <v>12.398841606113013</v>
      </c>
      <c r="M13" s="26"/>
      <c r="N13" s="12"/>
      <c r="O13" s="12"/>
      <c r="P13" s="11"/>
    </row>
    <row r="14" spans="1:17" x14ac:dyDescent="0.25">
      <c r="A14" t="s">
        <v>79</v>
      </c>
      <c r="B14" s="4">
        <v>10</v>
      </c>
      <c r="C14" t="str">
        <f>VLOOKUP(B14,'[1]Route types'!A:B,2,FALSE)</f>
        <v>Core Local</v>
      </c>
      <c r="D14" s="4" t="s">
        <v>14</v>
      </c>
      <c r="E14" s="5">
        <v>10416443.008558841</v>
      </c>
      <c r="F14" s="75">
        <v>801931.57213784743</v>
      </c>
      <c r="G14" s="5">
        <f t="shared" si="1"/>
        <v>9614511.4364209939</v>
      </c>
      <c r="H14" s="6">
        <v>873054.2022400928</v>
      </c>
      <c r="I14" s="7">
        <v>47167.990000000049</v>
      </c>
      <c r="J14" s="5">
        <f t="shared" si="2"/>
        <v>11.012502330040869</v>
      </c>
      <c r="K14" s="25">
        <f t="shared" si="0"/>
        <v>0.70915697120401788</v>
      </c>
      <c r="L14" s="36">
        <f t="shared" si="3"/>
        <v>18.509463774905225</v>
      </c>
      <c r="M14" s="26"/>
      <c r="N14" s="11"/>
      <c r="O14" s="12"/>
      <c r="P14" s="11"/>
    </row>
    <row r="15" spans="1:17" x14ac:dyDescent="0.25">
      <c r="A15" t="s">
        <v>79</v>
      </c>
      <c r="B15" s="4">
        <v>11</v>
      </c>
      <c r="C15" t="str">
        <f>VLOOKUP(B15,'[1]Route types'!A:B,2,FALSE)</f>
        <v>Core Local</v>
      </c>
      <c r="D15" s="4" t="s">
        <v>14</v>
      </c>
      <c r="E15" s="5">
        <v>7115938.3351138784</v>
      </c>
      <c r="F15" s="75">
        <v>657744.6680941626</v>
      </c>
      <c r="G15" s="5">
        <f t="shared" si="1"/>
        <v>6458193.6670197155</v>
      </c>
      <c r="H15" s="6">
        <v>524101.47435884213</v>
      </c>
      <c r="I15" s="7">
        <v>32600.159999999985</v>
      </c>
      <c r="J15" s="5">
        <f t="shared" si="2"/>
        <v>12.322410798253003</v>
      </c>
      <c r="K15" s="25">
        <f t="shared" si="0"/>
        <v>0.79350934580808885</v>
      </c>
      <c r="L15" s="36">
        <f t="shared" si="3"/>
        <v>16.076653438475223</v>
      </c>
      <c r="M15" s="26"/>
    </row>
    <row r="16" spans="1:17" x14ac:dyDescent="0.25">
      <c r="A16" t="s">
        <v>79</v>
      </c>
      <c r="B16" s="4">
        <v>12</v>
      </c>
      <c r="C16" t="str">
        <f>VLOOKUP(B16,'[1]Route types'!A:B,2,FALSE)</f>
        <v>Core Local</v>
      </c>
      <c r="D16" s="4" t="s">
        <v>14</v>
      </c>
      <c r="E16" s="5">
        <v>988609.19577686233</v>
      </c>
      <c r="F16" s="75">
        <v>81721.737638020961</v>
      </c>
      <c r="G16" s="5">
        <f t="shared" si="1"/>
        <v>906887.45813884132</v>
      </c>
      <c r="H16" s="6">
        <v>45789.994318369871</v>
      </c>
      <c r="I16" s="7">
        <v>4479.6599999999899</v>
      </c>
      <c r="J16" s="5">
        <f t="shared" si="2"/>
        <v>19.805362975880943</v>
      </c>
      <c r="K16" s="25">
        <f t="shared" si="0"/>
        <v>1.2753787287071385</v>
      </c>
      <c r="L16" s="36">
        <f t="shared" si="3"/>
        <v>10.221756632952049</v>
      </c>
      <c r="M16" s="26"/>
    </row>
    <row r="17" spans="1:13" x14ac:dyDescent="0.25">
      <c r="A17" t="s">
        <v>79</v>
      </c>
      <c r="B17" s="4">
        <v>14</v>
      </c>
      <c r="C17" t="str">
        <f>VLOOKUP(B17,'[1]Route types'!A:B,2,FALSE)</f>
        <v>Core Local</v>
      </c>
      <c r="D17" s="4" t="s">
        <v>14</v>
      </c>
      <c r="E17" s="5">
        <v>8406600.0160585381</v>
      </c>
      <c r="F17" s="75">
        <v>715131.61895179341</v>
      </c>
      <c r="G17" s="5">
        <f t="shared" si="1"/>
        <v>7691468.3971067443</v>
      </c>
      <c r="H17" s="6">
        <v>595171.14007887489</v>
      </c>
      <c r="I17" s="7">
        <v>38513.560000000034</v>
      </c>
      <c r="J17" s="5">
        <f t="shared" si="2"/>
        <v>12.923120560058464</v>
      </c>
      <c r="K17" s="25">
        <f t="shared" si="0"/>
        <v>0.8321924264093592</v>
      </c>
      <c r="L17" s="36">
        <f t="shared" si="3"/>
        <v>15.45354779144993</v>
      </c>
      <c r="M17" s="26"/>
    </row>
    <row r="18" spans="1:13" x14ac:dyDescent="0.25">
      <c r="A18" t="s">
        <v>79</v>
      </c>
      <c r="B18" s="4">
        <v>17</v>
      </c>
      <c r="C18" t="str">
        <f>VLOOKUP(B18,'[1]Route types'!A:B,2,FALSE)</f>
        <v>Core Local</v>
      </c>
      <c r="D18" s="4" t="s">
        <v>14</v>
      </c>
      <c r="E18" s="5">
        <v>7717204.0356540894</v>
      </c>
      <c r="F18" s="75">
        <v>671045.51115255209</v>
      </c>
      <c r="G18" s="5">
        <f t="shared" si="1"/>
        <v>7046158.524501537</v>
      </c>
      <c r="H18" s="6">
        <v>604024.70792344236</v>
      </c>
      <c r="I18" s="7">
        <v>34266.570000000051</v>
      </c>
      <c r="J18" s="5">
        <f t="shared" si="2"/>
        <v>11.665348175450148</v>
      </c>
      <c r="K18" s="25">
        <f t="shared" si="0"/>
        <v>0.75119738749801868</v>
      </c>
      <c r="L18" s="36">
        <f t="shared" si="3"/>
        <v>17.627229918939697</v>
      </c>
      <c r="M18" s="26"/>
    </row>
    <row r="19" spans="1:13" x14ac:dyDescent="0.25">
      <c r="A19" t="s">
        <v>79</v>
      </c>
      <c r="B19" s="4">
        <v>18</v>
      </c>
      <c r="C19" t="str">
        <f>VLOOKUP(B19,'[1]Route types'!A:B,2,FALSE)</f>
        <v>Core Local</v>
      </c>
      <c r="D19" s="4" t="s">
        <v>14</v>
      </c>
      <c r="E19" s="5">
        <v>12040934.085846087</v>
      </c>
      <c r="F19" s="75">
        <v>1139757.9349872386</v>
      </c>
      <c r="G19" s="5">
        <f t="shared" si="1"/>
        <v>10901176.150858849</v>
      </c>
      <c r="H19" s="6">
        <v>1241134.2481989833</v>
      </c>
      <c r="I19" s="7">
        <v>54851.950000000004</v>
      </c>
      <c r="J19" s="5">
        <f t="shared" si="2"/>
        <v>8.7832369195174547</v>
      </c>
      <c r="K19" s="25">
        <f t="shared" si="0"/>
        <v>0.56560203163100631</v>
      </c>
      <c r="L19" s="36">
        <f t="shared" si="3"/>
        <v>22.626984969522198</v>
      </c>
      <c r="M19" s="26"/>
    </row>
    <row r="20" spans="1:13" x14ac:dyDescent="0.25">
      <c r="A20" t="s">
        <v>79</v>
      </c>
      <c r="B20" s="4">
        <v>19</v>
      </c>
      <c r="C20" t="str">
        <f>VLOOKUP(B20,'[1]Route types'!A:B,2,FALSE)</f>
        <v>Core Local</v>
      </c>
      <c r="D20" s="4" t="s">
        <v>14</v>
      </c>
      <c r="E20" s="5">
        <v>2405542.2869159314</v>
      </c>
      <c r="F20" s="75">
        <v>128977.97696905748</v>
      </c>
      <c r="G20" s="5">
        <f t="shared" si="1"/>
        <v>2276564.3099468737</v>
      </c>
      <c r="H20" s="6">
        <v>115937.65681235769</v>
      </c>
      <c r="I20" s="7">
        <v>9784.4899999999925</v>
      </c>
      <c r="J20" s="5">
        <f t="shared" si="2"/>
        <v>19.636107650781991</v>
      </c>
      <c r="K20" s="25">
        <f t="shared" si="0"/>
        <v>1.2644794262497943</v>
      </c>
      <c r="L20" s="36">
        <f t="shared" si="3"/>
        <v>11.84912619997136</v>
      </c>
      <c r="M20" s="26"/>
    </row>
    <row r="21" spans="1:13" x14ac:dyDescent="0.25">
      <c r="A21" t="s">
        <v>79</v>
      </c>
      <c r="B21" s="4">
        <v>21</v>
      </c>
      <c r="C21" t="str">
        <f>VLOOKUP(B21,'[1]Route types'!A:B,2,FALSE)</f>
        <v>Core Local</v>
      </c>
      <c r="D21" s="4" t="s">
        <v>14</v>
      </c>
      <c r="E21" s="5">
        <v>12757690.153691595</v>
      </c>
      <c r="F21" s="75">
        <v>1187732.9808049586</v>
      </c>
      <c r="G21" s="5">
        <f t="shared" si="1"/>
        <v>11569957.172886636</v>
      </c>
      <c r="H21" s="6">
        <v>1257199.1984186878</v>
      </c>
      <c r="I21" s="7">
        <v>58903.280000000072</v>
      </c>
      <c r="J21" s="5">
        <f t="shared" si="2"/>
        <v>9.2029625754131832</v>
      </c>
      <c r="K21" s="25">
        <f t="shared" si="0"/>
        <v>0.59263052760323198</v>
      </c>
      <c r="L21" s="36">
        <f t="shared" si="3"/>
        <v>21.343449777647123</v>
      </c>
      <c r="M21" s="26"/>
    </row>
    <row r="22" spans="1:13" x14ac:dyDescent="0.25">
      <c r="A22" t="s">
        <v>79</v>
      </c>
      <c r="B22" s="4">
        <v>22</v>
      </c>
      <c r="C22" t="str">
        <f>VLOOKUP(B22,'[1]Route types'!A:B,2,FALSE)</f>
        <v>Core Local</v>
      </c>
      <c r="D22" s="4" t="s">
        <v>14</v>
      </c>
      <c r="E22" s="5">
        <v>9207568.6623907145</v>
      </c>
      <c r="F22" s="75">
        <v>709177.69595044153</v>
      </c>
      <c r="G22" s="5">
        <f t="shared" si="1"/>
        <v>8498390.9664402734</v>
      </c>
      <c r="H22" s="6">
        <v>582248.22389447084</v>
      </c>
      <c r="I22" s="7">
        <v>43390.75</v>
      </c>
      <c r="J22" s="5">
        <f t="shared" si="2"/>
        <v>14.595821193918418</v>
      </c>
      <c r="K22" s="25">
        <f t="shared" si="0"/>
        <v>0.93990702929333092</v>
      </c>
      <c r="L22" s="36">
        <f t="shared" si="3"/>
        <v>13.418717673570308</v>
      </c>
      <c r="M22" s="26"/>
    </row>
    <row r="23" spans="1:13" x14ac:dyDescent="0.25">
      <c r="A23" t="s">
        <v>79</v>
      </c>
      <c r="B23" s="4">
        <v>25</v>
      </c>
      <c r="C23" t="str">
        <f>VLOOKUP(B23,'[1]Route types'!A:B,2,FALSE)</f>
        <v>Core Local</v>
      </c>
      <c r="D23" s="4" t="s">
        <v>14</v>
      </c>
      <c r="E23" s="5">
        <v>3025745.1805818006</v>
      </c>
      <c r="F23" s="75">
        <v>140196.18078761495</v>
      </c>
      <c r="G23" s="5">
        <f t="shared" si="1"/>
        <v>2885548.9997941856</v>
      </c>
      <c r="H23" s="6">
        <v>88980.746823223657</v>
      </c>
      <c r="I23" s="7">
        <v>13515.510000000037</v>
      </c>
      <c r="J23" s="5">
        <f t="shared" si="2"/>
        <v>32.428914150685323</v>
      </c>
      <c r="K23" s="25">
        <f t="shared" si="0"/>
        <v>2.0882801972991523</v>
      </c>
      <c r="L23" s="36">
        <f t="shared" si="3"/>
        <v>6.5836026034698962</v>
      </c>
      <c r="M23" s="26"/>
    </row>
    <row r="24" spans="1:13" x14ac:dyDescent="0.25">
      <c r="A24" t="s">
        <v>79</v>
      </c>
      <c r="B24" s="4">
        <v>54</v>
      </c>
      <c r="C24" t="str">
        <f>VLOOKUP(B24,'[1]Route types'!A:B,2,FALSE)</f>
        <v>Core Local</v>
      </c>
      <c r="D24" s="4" t="s">
        <v>14</v>
      </c>
      <c r="E24" s="5">
        <v>7477384.7441758281</v>
      </c>
      <c r="F24" s="75">
        <v>674680.08544435399</v>
      </c>
      <c r="G24" s="5">
        <f t="shared" si="1"/>
        <v>6802704.6587314736</v>
      </c>
      <c r="H24" s="6">
        <v>638427.7499570176</v>
      </c>
      <c r="I24" s="7">
        <v>34177.469999999965</v>
      </c>
      <c r="J24" s="5">
        <f t="shared" si="2"/>
        <v>10.655402524701454</v>
      </c>
      <c r="K24" s="25">
        <f t="shared" si="0"/>
        <v>0.68616130602433989</v>
      </c>
      <c r="L24" s="36">
        <f t="shared" si="3"/>
        <v>18.679783786132159</v>
      </c>
      <c r="M24" s="26"/>
    </row>
    <row r="25" spans="1:13" x14ac:dyDescent="0.25">
      <c r="A25" t="s">
        <v>79</v>
      </c>
      <c r="B25" s="4">
        <v>61</v>
      </c>
      <c r="C25" t="str">
        <f>VLOOKUP(B25,'[1]Route types'!A:B,2,FALSE)</f>
        <v>Core Local</v>
      </c>
      <c r="D25" s="4" t="s">
        <v>14</v>
      </c>
      <c r="E25" s="5">
        <v>4674552.5171720693</v>
      </c>
      <c r="F25" s="75">
        <v>378544.58162870246</v>
      </c>
      <c r="G25" s="5">
        <f t="shared" si="1"/>
        <v>4296007.9355433667</v>
      </c>
      <c r="H25" s="6">
        <v>256879.8711605423</v>
      </c>
      <c r="I25" s="7">
        <v>21855.059999999983</v>
      </c>
      <c r="J25" s="5">
        <f t="shared" si="2"/>
        <v>16.723801347823354</v>
      </c>
      <c r="K25" s="25">
        <f t="shared" si="0"/>
        <v>1.0769396414553194</v>
      </c>
      <c r="L25" s="36">
        <f t="shared" si="3"/>
        <v>11.753793911366177</v>
      </c>
      <c r="M25" s="26"/>
    </row>
    <row r="26" spans="1:13" x14ac:dyDescent="0.25">
      <c r="A26" t="s">
        <v>79</v>
      </c>
      <c r="B26" s="4">
        <v>62</v>
      </c>
      <c r="C26" t="str">
        <f>VLOOKUP(B26,'[1]Route types'!A:B,2,FALSE)</f>
        <v>Core Local</v>
      </c>
      <c r="D26" s="4" t="s">
        <v>14</v>
      </c>
      <c r="E26" s="5">
        <v>4665625.5911004869</v>
      </c>
      <c r="F26" s="75">
        <v>321540.90700822882</v>
      </c>
      <c r="G26" s="5">
        <f t="shared" si="1"/>
        <v>4344084.6840922581</v>
      </c>
      <c r="H26" s="6">
        <v>314443.46427785465</v>
      </c>
      <c r="I26" s="7">
        <v>20397.510000000075</v>
      </c>
      <c r="J26" s="5">
        <f t="shared" si="2"/>
        <v>13.81515336650042</v>
      </c>
      <c r="K26" s="25">
        <f t="shared" si="0"/>
        <v>0.88963543656930788</v>
      </c>
      <c r="L26" s="36">
        <f t="shared" si="3"/>
        <v>15.415776939334924</v>
      </c>
      <c r="M26" s="26"/>
    </row>
    <row r="27" spans="1:13" x14ac:dyDescent="0.25">
      <c r="A27" t="s">
        <v>79</v>
      </c>
      <c r="B27" s="4">
        <v>63</v>
      </c>
      <c r="C27" t="str">
        <f>VLOOKUP(B27,'[1]Route types'!A:B,2,FALSE)</f>
        <v>Core Local</v>
      </c>
      <c r="D27" s="4" t="s">
        <v>14</v>
      </c>
      <c r="E27" s="5">
        <v>6707037.6634993777</v>
      </c>
      <c r="F27" s="75">
        <v>580850.49199002946</v>
      </c>
      <c r="G27" s="5">
        <f t="shared" si="1"/>
        <v>6126187.1715093479</v>
      </c>
      <c r="H27" s="6">
        <v>502886.90243422292</v>
      </c>
      <c r="I27" s="7">
        <v>31544.890000000145</v>
      </c>
      <c r="J27" s="5">
        <f t="shared" si="2"/>
        <v>12.18203763481521</v>
      </c>
      <c r="K27" s="25">
        <f t="shared" si="0"/>
        <v>0.78446992820448747</v>
      </c>
      <c r="L27" s="36">
        <f t="shared" si="3"/>
        <v>15.941945032435385</v>
      </c>
      <c r="M27" s="26"/>
    </row>
    <row r="28" spans="1:13" x14ac:dyDescent="0.25">
      <c r="A28" t="s">
        <v>79</v>
      </c>
      <c r="B28" s="4">
        <v>64</v>
      </c>
      <c r="C28" t="str">
        <f>VLOOKUP(B28,'[1]Route types'!A:B,2,FALSE)</f>
        <v>Core Local</v>
      </c>
      <c r="D28" s="4" t="s">
        <v>14</v>
      </c>
      <c r="E28" s="5">
        <v>6489505.4125653999</v>
      </c>
      <c r="F28" s="75">
        <v>484537.41160784033</v>
      </c>
      <c r="G28" s="5">
        <f t="shared" si="1"/>
        <v>6004968.0009575598</v>
      </c>
      <c r="H28" s="6">
        <v>496341.52930186247</v>
      </c>
      <c r="I28" s="7">
        <v>29080.669999999907</v>
      </c>
      <c r="J28" s="5">
        <f t="shared" si="2"/>
        <v>12.098459722691246</v>
      </c>
      <c r="K28" s="25">
        <f t="shared" si="0"/>
        <v>0.77908787631064103</v>
      </c>
      <c r="L28" s="36">
        <f t="shared" si="3"/>
        <v>17.067747383463448</v>
      </c>
      <c r="M28" s="26"/>
    </row>
    <row r="29" spans="1:13" x14ac:dyDescent="0.25">
      <c r="A29" t="s">
        <v>79</v>
      </c>
      <c r="B29" s="4">
        <v>68</v>
      </c>
      <c r="C29" t="str">
        <f>VLOOKUP(B29,'[1]Route types'!A:B,2,FALSE)</f>
        <v>Core Local</v>
      </c>
      <c r="D29" s="4" t="s">
        <v>14</v>
      </c>
      <c r="E29" s="5">
        <v>5940249.8979843743</v>
      </c>
      <c r="F29" s="75">
        <v>382901.27465051989</v>
      </c>
      <c r="G29" s="5">
        <f t="shared" si="1"/>
        <v>5557348.6233338546</v>
      </c>
      <c r="H29" s="6">
        <v>398519.9612224499</v>
      </c>
      <c r="I29" s="7">
        <v>27761.660000000036</v>
      </c>
      <c r="J29" s="5">
        <f t="shared" si="2"/>
        <v>13.944969296611463</v>
      </c>
      <c r="K29" s="25">
        <f t="shared" si="0"/>
        <v>0.8979950145337503</v>
      </c>
      <c r="L29" s="36">
        <f t="shared" si="3"/>
        <v>14.355047977046379</v>
      </c>
      <c r="M29" s="26"/>
    </row>
    <row r="30" spans="1:13" x14ac:dyDescent="0.25">
      <c r="A30" t="s">
        <v>79</v>
      </c>
      <c r="B30" s="4">
        <v>70</v>
      </c>
      <c r="C30" t="str">
        <f>VLOOKUP(B30,'[1]Route types'!A:B,2,FALSE)</f>
        <v>Core Local</v>
      </c>
      <c r="D30" s="4" t="s">
        <v>14</v>
      </c>
      <c r="E30" s="5">
        <v>1249252.5265330321</v>
      </c>
      <c r="F30" s="75">
        <v>91352.118248106926</v>
      </c>
      <c r="G30" s="5">
        <f t="shared" si="1"/>
        <v>1157900.4082849252</v>
      </c>
      <c r="H30" s="6">
        <v>56326.111828899477</v>
      </c>
      <c r="I30" s="7">
        <v>5275.3500000000013</v>
      </c>
      <c r="J30" s="5">
        <f t="shared" si="2"/>
        <v>20.557080378675035</v>
      </c>
      <c r="K30" s="25">
        <f t="shared" si="0"/>
        <v>1.3237860407412627</v>
      </c>
      <c r="L30" s="36">
        <f t="shared" si="3"/>
        <v>10.677227450102736</v>
      </c>
      <c r="M30" s="26"/>
    </row>
    <row r="31" spans="1:13" x14ac:dyDescent="0.25">
      <c r="A31" t="s">
        <v>79</v>
      </c>
      <c r="B31" s="4">
        <v>71</v>
      </c>
      <c r="C31" t="str">
        <f>VLOOKUP(B31,'[1]Route types'!A:B,2,FALSE)</f>
        <v>Core Local</v>
      </c>
      <c r="D31" s="4" t="s">
        <v>14</v>
      </c>
      <c r="E31" s="5">
        <v>3353840.3974642726</v>
      </c>
      <c r="F31" s="75">
        <v>149915.19702926395</v>
      </c>
      <c r="G31" s="5">
        <f t="shared" si="1"/>
        <v>3203925.2004350089</v>
      </c>
      <c r="H31" s="6">
        <v>146847.07141452539</v>
      </c>
      <c r="I31" s="7">
        <v>13975.289999999954</v>
      </c>
      <c r="J31" s="5">
        <f t="shared" si="2"/>
        <v>21.818107569819009</v>
      </c>
      <c r="K31" s="25">
        <f t="shared" si="0"/>
        <v>1.4049906749539716</v>
      </c>
      <c r="L31" s="36">
        <f t="shared" si="3"/>
        <v>10.507622483292002</v>
      </c>
      <c r="M31" s="26"/>
    </row>
    <row r="32" spans="1:13" x14ac:dyDescent="0.25">
      <c r="A32" t="s">
        <v>79</v>
      </c>
      <c r="B32" s="4">
        <v>74</v>
      </c>
      <c r="C32" t="str">
        <f>VLOOKUP(B32,'[1]Route types'!A:B,2,FALSE)</f>
        <v>Core Local</v>
      </c>
      <c r="D32" s="4" t="s">
        <v>14</v>
      </c>
      <c r="E32" s="5">
        <v>6794704.8232759675</v>
      </c>
      <c r="F32" s="75">
        <v>554806.30610966834</v>
      </c>
      <c r="G32" s="5">
        <f t="shared" si="1"/>
        <v>6239898.5171662988</v>
      </c>
      <c r="H32" s="6">
        <v>463983.25248733844</v>
      </c>
      <c r="I32" s="7">
        <v>31858.030000000028</v>
      </c>
      <c r="J32" s="5">
        <f t="shared" si="2"/>
        <v>13.448542557765226</v>
      </c>
      <c r="K32" s="25">
        <f t="shared" si="0"/>
        <v>0.86602730438084996</v>
      </c>
      <c r="L32" s="36">
        <f t="shared" si="3"/>
        <v>14.564091140831309</v>
      </c>
      <c r="M32" s="26"/>
    </row>
    <row r="33" spans="1:13" x14ac:dyDescent="0.25">
      <c r="A33" t="s">
        <v>79</v>
      </c>
      <c r="B33" s="4">
        <v>75</v>
      </c>
      <c r="C33" t="str">
        <f>VLOOKUP(B33,'[1]Route types'!A:B,2,FALSE)</f>
        <v>Core Local</v>
      </c>
      <c r="D33" s="4" t="s">
        <v>14</v>
      </c>
      <c r="E33" s="5">
        <v>1538499.659453348</v>
      </c>
      <c r="F33" s="75">
        <v>78437.134976673333</v>
      </c>
      <c r="G33" s="5">
        <f t="shared" si="1"/>
        <v>1460062.5244766746</v>
      </c>
      <c r="H33" s="6">
        <v>77220.956828357899</v>
      </c>
      <c r="I33" s="7">
        <v>6963.1999999999698</v>
      </c>
      <c r="J33" s="5">
        <f t="shared" si="2"/>
        <v>18.907594316941886</v>
      </c>
      <c r="K33" s="25">
        <f t="shared" si="0"/>
        <v>1.21756635474029</v>
      </c>
      <c r="L33" s="36">
        <f t="shared" si="3"/>
        <v>11.089866272454939</v>
      </c>
      <c r="M33" s="26"/>
    </row>
    <row r="34" spans="1:13" x14ac:dyDescent="0.25">
      <c r="A34" t="s">
        <v>79</v>
      </c>
      <c r="B34" s="4">
        <v>824</v>
      </c>
      <c r="C34" t="str">
        <f>VLOOKUP(B34,'[1]Route types'!A:B,2,FALSE)</f>
        <v>Core Local</v>
      </c>
      <c r="D34" s="4" t="s">
        <v>14</v>
      </c>
      <c r="E34" s="5">
        <v>225488.75222821868</v>
      </c>
      <c r="F34" s="75">
        <v>27116.176873531065</v>
      </c>
      <c r="G34" s="5">
        <f t="shared" si="1"/>
        <v>198372.57535468761</v>
      </c>
      <c r="H34" s="6">
        <v>8559.3340961636895</v>
      </c>
      <c r="I34" s="7">
        <v>784.68000000000268</v>
      </c>
      <c r="J34" s="5">
        <f t="shared" si="2"/>
        <v>23.17616921199496</v>
      </c>
      <c r="K34" s="25">
        <f t="shared" si="0"/>
        <v>1.4924439032948802</v>
      </c>
      <c r="L34" s="36">
        <f t="shared" si="3"/>
        <v>10.908056910031682</v>
      </c>
      <c r="M34" s="26"/>
    </row>
    <row r="35" spans="1:13" x14ac:dyDescent="0.25">
      <c r="A35" t="s">
        <v>79</v>
      </c>
      <c r="B35" s="4">
        <v>2</v>
      </c>
      <c r="C35" t="str">
        <f>VLOOKUP(B35,'[1]Route types'!A:B,2,FALSE)</f>
        <v>Core Local</v>
      </c>
      <c r="D35" s="4" t="s">
        <v>17</v>
      </c>
      <c r="E35" s="5">
        <v>1074774.0790853226</v>
      </c>
      <c r="F35" s="75">
        <v>70676.035452191587</v>
      </c>
      <c r="G35" s="5">
        <f t="shared" si="1"/>
        <v>1004098.043633131</v>
      </c>
      <c r="H35" s="6">
        <v>87931.277713393705</v>
      </c>
      <c r="I35" s="7">
        <v>4775.6000000000004</v>
      </c>
      <c r="J35" s="5">
        <f t="shared" si="2"/>
        <v>11.419122634677542</v>
      </c>
      <c r="K35" s="25">
        <f t="shared" si="0"/>
        <v>0.66838470736444811</v>
      </c>
      <c r="L35" s="36">
        <f t="shared" si="3"/>
        <v>18.412613642975479</v>
      </c>
      <c r="M35" s="26"/>
    </row>
    <row r="36" spans="1:13" x14ac:dyDescent="0.25">
      <c r="A36" t="s">
        <v>79</v>
      </c>
      <c r="B36" s="4">
        <v>3</v>
      </c>
      <c r="C36" t="str">
        <f>VLOOKUP(B36,'[1]Route types'!A:B,2,FALSE)</f>
        <v>Core Local</v>
      </c>
      <c r="D36" s="4" t="s">
        <v>17</v>
      </c>
      <c r="E36" s="5">
        <v>1203145.0761082594</v>
      </c>
      <c r="F36" s="75">
        <v>46623.286191516978</v>
      </c>
      <c r="G36" s="5">
        <f t="shared" si="1"/>
        <v>1156521.7899167424</v>
      </c>
      <c r="H36" s="6">
        <v>60229.754519815542</v>
      </c>
      <c r="I36" s="7">
        <v>5541.6400000000021</v>
      </c>
      <c r="J36" s="5">
        <f t="shared" si="2"/>
        <v>19.201834693452845</v>
      </c>
      <c r="K36" s="25">
        <f t="shared" si="0"/>
        <v>1.1239228330440296</v>
      </c>
      <c r="L36" s="36">
        <f t="shared" si="3"/>
        <v>10.868579431326379</v>
      </c>
      <c r="M36" s="26"/>
    </row>
    <row r="37" spans="1:13" x14ac:dyDescent="0.25">
      <c r="A37" t="s">
        <v>79</v>
      </c>
      <c r="B37" s="4">
        <v>4</v>
      </c>
      <c r="C37" t="str">
        <f>VLOOKUP(B37,'[1]Route types'!A:B,2,FALSE)</f>
        <v>Core Local</v>
      </c>
      <c r="D37" s="4" t="s">
        <v>17</v>
      </c>
      <c r="E37" s="5">
        <v>1510905.5572683425</v>
      </c>
      <c r="F37" s="75">
        <v>82005.166299936158</v>
      </c>
      <c r="G37" s="5">
        <f t="shared" si="1"/>
        <v>1428900.3909684063</v>
      </c>
      <c r="H37" s="6">
        <v>78893.946553036221</v>
      </c>
      <c r="I37" s="7">
        <v>6955.0600000000049</v>
      </c>
      <c r="J37" s="5">
        <f t="shared" si="2"/>
        <v>18.111660696398708</v>
      </c>
      <c r="K37" s="25">
        <f t="shared" ref="K37:K68" si="4">+IF(D37="Weekday",J37/$G$86,IF(D37="Saturday",J37/$G$87,IF(D37="Sunday",J37/$G$88,"NA")))</f>
        <v>1.0601127093323723</v>
      </c>
      <c r="L37" s="36">
        <f t="shared" si="3"/>
        <v>11.343388346475251</v>
      </c>
      <c r="M37" s="26"/>
    </row>
    <row r="38" spans="1:13" x14ac:dyDescent="0.25">
      <c r="A38" t="s">
        <v>79</v>
      </c>
      <c r="B38" s="4">
        <v>5</v>
      </c>
      <c r="C38" t="str">
        <f>VLOOKUP(B38,'[1]Route types'!A:B,2,FALSE)</f>
        <v>Core Local</v>
      </c>
      <c r="D38" s="4" t="s">
        <v>17</v>
      </c>
      <c r="E38" s="5">
        <v>2252434.458637591</v>
      </c>
      <c r="F38" s="75">
        <v>174679.1511781755</v>
      </c>
      <c r="G38" s="5">
        <f t="shared" si="1"/>
        <v>2077755.3074594154</v>
      </c>
      <c r="H38" s="6">
        <v>211934.33832224816</v>
      </c>
      <c r="I38" s="7">
        <v>10659.639999999992</v>
      </c>
      <c r="J38" s="5">
        <f t="shared" si="2"/>
        <v>9.8037690536970405</v>
      </c>
      <c r="K38" s="25">
        <f t="shared" si="4"/>
        <v>0.57383474367152776</v>
      </c>
      <c r="L38" s="36">
        <f t="shared" si="3"/>
        <v>19.881941446638752</v>
      </c>
      <c r="M38" s="26"/>
    </row>
    <row r="39" spans="1:13" x14ac:dyDescent="0.25">
      <c r="A39" t="s">
        <v>79</v>
      </c>
      <c r="B39" s="4">
        <v>6</v>
      </c>
      <c r="C39" t="str">
        <f>VLOOKUP(B39,'[1]Route types'!A:B,2,FALSE)</f>
        <v>Core Local</v>
      </c>
      <c r="D39" s="4" t="s">
        <v>17</v>
      </c>
      <c r="E39" s="5">
        <v>1657582.071254954</v>
      </c>
      <c r="F39" s="75">
        <v>94403.70459105169</v>
      </c>
      <c r="G39" s="5">
        <f t="shared" si="1"/>
        <v>1563178.3666639023</v>
      </c>
      <c r="H39" s="6">
        <v>101790.00592791937</v>
      </c>
      <c r="I39" s="7">
        <v>7552.0500000000065</v>
      </c>
      <c r="J39" s="5">
        <f t="shared" si="2"/>
        <v>15.356894347474908</v>
      </c>
      <c r="K39" s="25">
        <f t="shared" si="4"/>
        <v>0.89887057551104155</v>
      </c>
      <c r="L39" s="36">
        <f t="shared" si="3"/>
        <v>13.478460276073289</v>
      </c>
      <c r="M39" s="26"/>
    </row>
    <row r="40" spans="1:13" x14ac:dyDescent="0.25">
      <c r="A40" t="s">
        <v>79</v>
      </c>
      <c r="B40" s="4">
        <v>7</v>
      </c>
      <c r="C40" t="str">
        <f>VLOOKUP(B40,'[1]Route types'!A:B,2,FALSE)</f>
        <v>Core Local</v>
      </c>
      <c r="D40" s="4" t="s">
        <v>17</v>
      </c>
      <c r="E40" s="5">
        <v>687152.38450271648</v>
      </c>
      <c r="F40" s="75">
        <v>20881.425321279767</v>
      </c>
      <c r="G40" s="5">
        <f t="shared" si="1"/>
        <v>666270.95918143669</v>
      </c>
      <c r="H40" s="6">
        <v>24102.736408047938</v>
      </c>
      <c r="I40" s="7">
        <v>3268.5900000000024</v>
      </c>
      <c r="J40" s="5">
        <f t="shared" si="2"/>
        <v>27.642959201884143</v>
      </c>
      <c r="K40" s="25">
        <f t="shared" si="4"/>
        <v>1.6179991920509265</v>
      </c>
      <c r="L40" s="36">
        <f t="shared" si="3"/>
        <v>7.3740470380341128</v>
      </c>
      <c r="M40" s="26"/>
    </row>
    <row r="41" spans="1:13" x14ac:dyDescent="0.25">
      <c r="A41" t="s">
        <v>79</v>
      </c>
      <c r="B41" s="4">
        <v>9</v>
      </c>
      <c r="C41" t="str">
        <f>VLOOKUP(B41,'[1]Route types'!A:B,2,FALSE)</f>
        <v>Core Local</v>
      </c>
      <c r="D41" s="4" t="s">
        <v>17</v>
      </c>
      <c r="E41" s="5">
        <v>833516.33334181819</v>
      </c>
      <c r="F41" s="75">
        <v>36531.775064756555</v>
      </c>
      <c r="G41" s="5">
        <f t="shared" si="1"/>
        <v>796984.55827706167</v>
      </c>
      <c r="H41" s="6">
        <v>40759.34077165465</v>
      </c>
      <c r="I41" s="7">
        <v>3589.0399999999981</v>
      </c>
      <c r="J41" s="5">
        <f t="shared" si="2"/>
        <v>19.553421208208309</v>
      </c>
      <c r="K41" s="25">
        <f t="shared" si="4"/>
        <v>1.1445019140554276</v>
      </c>
      <c r="L41" s="36">
        <f t="shared" si="3"/>
        <v>11.35661368267132</v>
      </c>
      <c r="M41" s="26"/>
    </row>
    <row r="42" spans="1:13" x14ac:dyDescent="0.25">
      <c r="A42" t="s">
        <v>79</v>
      </c>
      <c r="B42" s="4">
        <v>10</v>
      </c>
      <c r="C42" t="str">
        <f>VLOOKUP(B42,'[1]Route types'!A:B,2,FALSE)</f>
        <v>Core Local</v>
      </c>
      <c r="D42" s="4" t="s">
        <v>17</v>
      </c>
      <c r="E42" s="5">
        <v>1582255.5071714565</v>
      </c>
      <c r="F42" s="75">
        <v>92988.416137741588</v>
      </c>
      <c r="G42" s="5">
        <f t="shared" si="1"/>
        <v>1489267.0910337148</v>
      </c>
      <c r="H42" s="6">
        <v>131112.47027696364</v>
      </c>
      <c r="I42" s="7">
        <v>7038.87</v>
      </c>
      <c r="J42" s="5">
        <f t="shared" si="2"/>
        <v>11.358699045847953</v>
      </c>
      <c r="K42" s="25">
        <f t="shared" si="4"/>
        <v>0.66484799057544275</v>
      </c>
      <c r="L42" s="36">
        <f t="shared" si="3"/>
        <v>18.626920269441491</v>
      </c>
      <c r="M42" s="26"/>
    </row>
    <row r="43" spans="1:13" x14ac:dyDescent="0.25">
      <c r="A43" t="s">
        <v>79</v>
      </c>
      <c r="B43" s="4">
        <v>11</v>
      </c>
      <c r="C43" t="str">
        <f>VLOOKUP(B43,'[1]Route types'!A:B,2,FALSE)</f>
        <v>Core Local</v>
      </c>
      <c r="D43" s="4" t="s">
        <v>17</v>
      </c>
      <c r="E43" s="5">
        <v>1138156.0724270102</v>
      </c>
      <c r="F43" s="75">
        <v>55821.584658949716</v>
      </c>
      <c r="G43" s="5">
        <f t="shared" si="1"/>
        <v>1082334.4877680605</v>
      </c>
      <c r="H43" s="6">
        <v>68853.883773569949</v>
      </c>
      <c r="I43" s="7">
        <v>5213.2999999999965</v>
      </c>
      <c r="J43" s="5">
        <f t="shared" si="2"/>
        <v>15.719294663571647</v>
      </c>
      <c r="K43" s="25">
        <f t="shared" si="4"/>
        <v>0.92008261053092311</v>
      </c>
      <c r="L43" s="36">
        <f t="shared" si="3"/>
        <v>13.207351154464542</v>
      </c>
      <c r="M43" s="26"/>
    </row>
    <row r="44" spans="1:13" x14ac:dyDescent="0.25">
      <c r="A44" t="s">
        <v>79</v>
      </c>
      <c r="B44" s="4">
        <v>14</v>
      </c>
      <c r="C44" t="str">
        <f>VLOOKUP(B44,'[1]Route types'!A:B,2,FALSE)</f>
        <v>Core Local</v>
      </c>
      <c r="D44" s="4" t="s">
        <v>17</v>
      </c>
      <c r="E44" s="5">
        <v>1147510.1163179791</v>
      </c>
      <c r="F44" s="75">
        <v>68484.920243238201</v>
      </c>
      <c r="G44" s="5">
        <f t="shared" si="1"/>
        <v>1079025.196074741</v>
      </c>
      <c r="H44" s="6">
        <v>79316.708400923177</v>
      </c>
      <c r="I44" s="7">
        <v>5364.91</v>
      </c>
      <c r="J44" s="5">
        <f t="shared" si="2"/>
        <v>13.604008762196466</v>
      </c>
      <c r="K44" s="25">
        <f t="shared" si="4"/>
        <v>0.79627058105947357</v>
      </c>
      <c r="L44" s="36">
        <f t="shared" si="3"/>
        <v>14.784350231583229</v>
      </c>
      <c r="M44" s="26"/>
    </row>
    <row r="45" spans="1:13" x14ac:dyDescent="0.25">
      <c r="A45" t="s">
        <v>79</v>
      </c>
      <c r="B45" s="4">
        <v>17</v>
      </c>
      <c r="C45" t="str">
        <f>VLOOKUP(B45,'[1]Route types'!A:B,2,FALSE)</f>
        <v>Core Local</v>
      </c>
      <c r="D45" s="4" t="s">
        <v>17</v>
      </c>
      <c r="E45" s="5">
        <v>1042478.4079537167</v>
      </c>
      <c r="F45" s="75">
        <v>73396.264972207762</v>
      </c>
      <c r="G45" s="5">
        <f t="shared" si="1"/>
        <v>969082.14298150898</v>
      </c>
      <c r="H45" s="6">
        <v>83139.622698775391</v>
      </c>
      <c r="I45" s="7">
        <v>4743</v>
      </c>
      <c r="J45" s="5">
        <f t="shared" si="2"/>
        <v>11.65608059700496</v>
      </c>
      <c r="K45" s="25">
        <f t="shared" si="4"/>
        <v>0.6822543437082178</v>
      </c>
      <c r="L45" s="36">
        <f t="shared" si="3"/>
        <v>17.528910541592957</v>
      </c>
      <c r="M45" s="26"/>
    </row>
    <row r="46" spans="1:13" x14ac:dyDescent="0.25">
      <c r="A46" t="s">
        <v>79</v>
      </c>
      <c r="B46" s="4">
        <v>18</v>
      </c>
      <c r="C46" t="str">
        <f>VLOOKUP(B46,'[1]Route types'!A:B,2,FALSE)</f>
        <v>Core Local</v>
      </c>
      <c r="D46" s="4" t="s">
        <v>17</v>
      </c>
      <c r="E46" s="5">
        <v>2022083.7637221662</v>
      </c>
      <c r="F46" s="75">
        <v>139772.92577344133</v>
      </c>
      <c r="G46" s="5">
        <f t="shared" si="1"/>
        <v>1882310.8379487249</v>
      </c>
      <c r="H46" s="6">
        <v>197435.0940417028</v>
      </c>
      <c r="I46" s="7">
        <v>9270.4900000000016</v>
      </c>
      <c r="J46" s="5">
        <f t="shared" si="2"/>
        <v>9.5338209606805666</v>
      </c>
      <c r="K46" s="25">
        <f t="shared" si="4"/>
        <v>0.55803412720328183</v>
      </c>
      <c r="L46" s="36">
        <f t="shared" si="3"/>
        <v>21.297158407128723</v>
      </c>
      <c r="M46" s="26"/>
    </row>
    <row r="47" spans="1:13" x14ac:dyDescent="0.25">
      <c r="A47" t="s">
        <v>79</v>
      </c>
      <c r="B47" s="4">
        <v>19</v>
      </c>
      <c r="C47" t="str">
        <f>VLOOKUP(B47,'[1]Route types'!A:B,2,FALSE)</f>
        <v>Core Local</v>
      </c>
      <c r="D47" s="4" t="s">
        <v>17</v>
      </c>
      <c r="E47" s="5">
        <v>450054.53721457283</v>
      </c>
      <c r="F47" s="75">
        <v>15526.935556928231</v>
      </c>
      <c r="G47" s="5">
        <f t="shared" si="1"/>
        <v>434527.60165764461</v>
      </c>
      <c r="H47" s="6">
        <v>18106.52879166124</v>
      </c>
      <c r="I47" s="7">
        <v>1790.1000000000013</v>
      </c>
      <c r="J47" s="5">
        <f t="shared" si="2"/>
        <v>23.99839343352004</v>
      </c>
      <c r="K47" s="25">
        <f t="shared" si="4"/>
        <v>1.4046752701971603</v>
      </c>
      <c r="L47" s="36">
        <f t="shared" si="3"/>
        <v>10.114814139802931</v>
      </c>
      <c r="M47" s="26"/>
    </row>
    <row r="48" spans="1:13" x14ac:dyDescent="0.25">
      <c r="A48" t="s">
        <v>79</v>
      </c>
      <c r="B48" s="4">
        <v>21</v>
      </c>
      <c r="C48" t="str">
        <f>VLOOKUP(B48,'[1]Route types'!A:B,2,FALSE)</f>
        <v>Core Local</v>
      </c>
      <c r="D48" s="4" t="s">
        <v>17</v>
      </c>
      <c r="E48" s="5">
        <v>2214497.8866501106</v>
      </c>
      <c r="F48" s="75">
        <v>138119.50358578051</v>
      </c>
      <c r="G48" s="5">
        <f t="shared" si="1"/>
        <v>2076378.3830643301</v>
      </c>
      <c r="H48" s="6">
        <v>200340.25397630292</v>
      </c>
      <c r="I48" s="7">
        <v>10221.240000000007</v>
      </c>
      <c r="J48" s="5">
        <f t="shared" si="2"/>
        <v>10.364259512768376</v>
      </c>
      <c r="K48" s="25">
        <f t="shared" si="4"/>
        <v>0.60664140171803183</v>
      </c>
      <c r="L48" s="36">
        <f t="shared" si="3"/>
        <v>19.600386447857872</v>
      </c>
      <c r="M48" s="26"/>
    </row>
    <row r="49" spans="1:13" x14ac:dyDescent="0.25">
      <c r="A49" t="s">
        <v>79</v>
      </c>
      <c r="B49" s="4">
        <v>22</v>
      </c>
      <c r="C49" t="str">
        <f>VLOOKUP(B49,'[1]Route types'!A:B,2,FALSE)</f>
        <v>Core Local</v>
      </c>
      <c r="D49" s="4" t="s">
        <v>17</v>
      </c>
      <c r="E49" s="5">
        <v>1309021.2013108234</v>
      </c>
      <c r="F49" s="75">
        <v>70629.167209044434</v>
      </c>
      <c r="G49" s="5">
        <f t="shared" si="1"/>
        <v>1238392.0341017791</v>
      </c>
      <c r="H49" s="6">
        <v>81678.013898040561</v>
      </c>
      <c r="I49" s="7">
        <v>6187.9800000000014</v>
      </c>
      <c r="J49" s="5">
        <f t="shared" si="2"/>
        <v>15.161877413518841</v>
      </c>
      <c r="K49" s="25">
        <f t="shared" si="4"/>
        <v>0.88745583372190429</v>
      </c>
      <c r="L49" s="36">
        <f t="shared" si="3"/>
        <v>13.199463136280425</v>
      </c>
      <c r="M49" s="26"/>
    </row>
    <row r="50" spans="1:13" x14ac:dyDescent="0.25">
      <c r="A50" t="s">
        <v>79</v>
      </c>
      <c r="B50" s="4">
        <v>25</v>
      </c>
      <c r="C50" t="str">
        <f>VLOOKUP(B50,'[1]Route types'!A:B,2,FALSE)</f>
        <v>Core Local</v>
      </c>
      <c r="D50" s="4" t="s">
        <v>17</v>
      </c>
      <c r="E50" s="5">
        <v>183452.83105479411</v>
      </c>
      <c r="F50" s="75">
        <v>4636.2960426842164</v>
      </c>
      <c r="G50" s="5">
        <f t="shared" si="1"/>
        <v>178816.5350121099</v>
      </c>
      <c r="H50" s="6">
        <v>4403.9462847722343</v>
      </c>
      <c r="I50" s="7">
        <v>857.6699999999995</v>
      </c>
      <c r="J50" s="5">
        <f t="shared" si="2"/>
        <v>40.60370482501424</v>
      </c>
      <c r="K50" s="25">
        <f t="shared" si="4"/>
        <v>2.3766182600547867</v>
      </c>
      <c r="L50" s="36">
        <f t="shared" si="3"/>
        <v>5.1347794428769067</v>
      </c>
      <c r="M50" s="26"/>
    </row>
    <row r="51" spans="1:13" x14ac:dyDescent="0.25">
      <c r="A51" t="s">
        <v>79</v>
      </c>
      <c r="B51" s="4">
        <v>54</v>
      </c>
      <c r="C51" t="str">
        <f>VLOOKUP(B51,'[1]Route types'!A:B,2,FALSE)</f>
        <v>Core Local</v>
      </c>
      <c r="D51" s="4" t="s">
        <v>17</v>
      </c>
      <c r="E51" s="5">
        <v>1285186.0632296565</v>
      </c>
      <c r="F51" s="75">
        <v>96467.149380774936</v>
      </c>
      <c r="G51" s="5">
        <f t="shared" si="1"/>
        <v>1188718.9138488816</v>
      </c>
      <c r="H51" s="6">
        <v>107957.23027171762</v>
      </c>
      <c r="I51" s="7">
        <v>5948.5399999999991</v>
      </c>
      <c r="J51" s="5">
        <f t="shared" si="2"/>
        <v>11.011017148707818</v>
      </c>
      <c r="K51" s="25">
        <f t="shared" si="4"/>
        <v>0.64449745485475451</v>
      </c>
      <c r="L51" s="36">
        <f t="shared" si="3"/>
        <v>18.148525566225938</v>
      </c>
      <c r="M51" s="26"/>
    </row>
    <row r="52" spans="1:13" x14ac:dyDescent="0.25">
      <c r="A52" t="s">
        <v>79</v>
      </c>
      <c r="B52" s="4">
        <v>61</v>
      </c>
      <c r="C52" t="str">
        <f>VLOOKUP(B52,'[1]Route types'!A:B,2,FALSE)</f>
        <v>Core Local</v>
      </c>
      <c r="D52" s="4" t="s">
        <v>17</v>
      </c>
      <c r="E52" s="5">
        <v>337054.87228888308</v>
      </c>
      <c r="F52" s="75">
        <v>16890.321157226626</v>
      </c>
      <c r="G52" s="5">
        <f t="shared" si="1"/>
        <v>320164.55113165645</v>
      </c>
      <c r="H52" s="6">
        <v>17708.197904833072</v>
      </c>
      <c r="I52" s="7">
        <v>1548.3699999999997</v>
      </c>
      <c r="J52" s="5">
        <f t="shared" si="2"/>
        <v>18.080018805542849</v>
      </c>
      <c r="K52" s="25">
        <f t="shared" si="4"/>
        <v>1.0582606444551701</v>
      </c>
      <c r="L52" s="36">
        <f t="shared" si="3"/>
        <v>11.436670760111005</v>
      </c>
      <c r="M52" s="26"/>
    </row>
    <row r="53" spans="1:13" x14ac:dyDescent="0.25">
      <c r="A53" t="s">
        <v>79</v>
      </c>
      <c r="B53" s="4">
        <v>62</v>
      </c>
      <c r="C53" t="str">
        <f>VLOOKUP(B53,'[1]Route types'!A:B,2,FALSE)</f>
        <v>Core Local</v>
      </c>
      <c r="D53" s="4" t="s">
        <v>17</v>
      </c>
      <c r="E53" s="5">
        <v>639891.22502560727</v>
      </c>
      <c r="F53" s="75">
        <v>35229.152568382822</v>
      </c>
      <c r="G53" s="5">
        <f t="shared" si="1"/>
        <v>604662.07245722448</v>
      </c>
      <c r="H53" s="6">
        <v>44767.080600995127</v>
      </c>
      <c r="I53" s="7">
        <v>2833.7099999999973</v>
      </c>
      <c r="J53" s="5">
        <f t="shared" si="2"/>
        <v>13.506846199030084</v>
      </c>
      <c r="K53" s="25">
        <f t="shared" si="4"/>
        <v>0.79058345662562901</v>
      </c>
      <c r="L53" s="36">
        <f t="shared" si="3"/>
        <v>15.798045883663173</v>
      </c>
      <c r="M53" s="26"/>
    </row>
    <row r="54" spans="1:13" x14ac:dyDescent="0.25">
      <c r="A54" t="s">
        <v>79</v>
      </c>
      <c r="B54" s="4">
        <v>63</v>
      </c>
      <c r="C54" t="str">
        <f>VLOOKUP(B54,'[1]Route types'!A:B,2,FALSE)</f>
        <v>Core Local</v>
      </c>
      <c r="D54" s="4" t="s">
        <v>17</v>
      </c>
      <c r="E54" s="5">
        <v>1137467.1199290918</v>
      </c>
      <c r="F54" s="75">
        <v>63803.875793139297</v>
      </c>
      <c r="G54" s="5">
        <f t="shared" si="1"/>
        <v>1073663.2441359526</v>
      </c>
      <c r="H54" s="6">
        <v>74590.910759593782</v>
      </c>
      <c r="I54" s="7">
        <v>5356.2000000000035</v>
      </c>
      <c r="J54" s="5">
        <f t="shared" si="2"/>
        <v>14.394022451292559</v>
      </c>
      <c r="K54" s="25">
        <f t="shared" si="4"/>
        <v>0.84251170529408603</v>
      </c>
      <c r="L54" s="36">
        <f t="shared" si="3"/>
        <v>13.926087666553476</v>
      </c>
      <c r="M54" s="26"/>
    </row>
    <row r="55" spans="1:13" x14ac:dyDescent="0.25">
      <c r="A55" t="s">
        <v>79</v>
      </c>
      <c r="B55" s="4">
        <v>64</v>
      </c>
      <c r="C55" t="str">
        <f>VLOOKUP(B55,'[1]Route types'!A:B,2,FALSE)</f>
        <v>Core Local</v>
      </c>
      <c r="D55" s="4" t="s">
        <v>17</v>
      </c>
      <c r="E55" s="5">
        <v>1105004.5291899159</v>
      </c>
      <c r="F55" s="75">
        <v>50666.409137098439</v>
      </c>
      <c r="G55" s="5">
        <f t="shared" si="1"/>
        <v>1054338.1200528175</v>
      </c>
      <c r="H55" s="6">
        <v>75911.244872466879</v>
      </c>
      <c r="I55" s="7">
        <v>5040.9000000000042</v>
      </c>
      <c r="J55" s="5">
        <f t="shared" si="2"/>
        <v>13.889090105479584</v>
      </c>
      <c r="K55" s="25">
        <f t="shared" si="4"/>
        <v>0.81295697775572295</v>
      </c>
      <c r="L55" s="36">
        <f t="shared" si="3"/>
        <v>15.059065816117522</v>
      </c>
      <c r="M55" s="26"/>
    </row>
    <row r="56" spans="1:13" x14ac:dyDescent="0.25">
      <c r="A56" t="s">
        <v>79</v>
      </c>
      <c r="B56" s="4">
        <v>68</v>
      </c>
      <c r="C56" t="str">
        <f>VLOOKUP(B56,'[1]Route types'!A:B,2,FALSE)</f>
        <v>Core Local</v>
      </c>
      <c r="D56" s="4" t="s">
        <v>17</v>
      </c>
      <c r="E56" s="5">
        <v>989098.49933239177</v>
      </c>
      <c r="F56" s="75">
        <v>46696.586136453094</v>
      </c>
      <c r="G56" s="5">
        <f t="shared" si="1"/>
        <v>942401.91319593869</v>
      </c>
      <c r="H56" s="6">
        <v>63393.0328690803</v>
      </c>
      <c r="I56" s="7">
        <v>4720.66</v>
      </c>
      <c r="J56" s="5">
        <f t="shared" si="2"/>
        <v>14.866017140120006</v>
      </c>
      <c r="K56" s="25">
        <f t="shared" si="4"/>
        <v>0.87013852410164283</v>
      </c>
      <c r="L56" s="36">
        <f t="shared" si="3"/>
        <v>13.428849539911855</v>
      </c>
      <c r="M56" s="26"/>
    </row>
    <row r="57" spans="1:13" x14ac:dyDescent="0.25">
      <c r="A57" t="s">
        <v>79</v>
      </c>
      <c r="B57" s="4">
        <v>70</v>
      </c>
      <c r="C57" t="str">
        <f>VLOOKUP(B57,'[1]Route types'!A:B,2,FALSE)</f>
        <v>Core Local</v>
      </c>
      <c r="D57" s="4" t="s">
        <v>17</v>
      </c>
      <c r="E57" s="5">
        <v>90110.404620761125</v>
      </c>
      <c r="F57" s="75">
        <v>3005.2646199473784</v>
      </c>
      <c r="G57" s="5">
        <f t="shared" si="1"/>
        <v>87105.140000813743</v>
      </c>
      <c r="H57" s="6">
        <v>3898.3316124250118</v>
      </c>
      <c r="I57" s="7">
        <v>403.45999999999964</v>
      </c>
      <c r="J57" s="5">
        <f t="shared" si="2"/>
        <v>22.344209949504211</v>
      </c>
      <c r="K57" s="25">
        <f t="shared" si="4"/>
        <v>1.3078525125070513</v>
      </c>
      <c r="L57" s="36">
        <f t="shared" si="3"/>
        <v>9.6622505636866496</v>
      </c>
      <c r="M57" s="26"/>
    </row>
    <row r="58" spans="1:13" x14ac:dyDescent="0.25">
      <c r="A58" t="s">
        <v>79</v>
      </c>
      <c r="B58" s="4">
        <v>71</v>
      </c>
      <c r="C58" t="str">
        <f>VLOOKUP(B58,'[1]Route types'!A:B,2,FALSE)</f>
        <v>Core Local</v>
      </c>
      <c r="D58" s="4" t="s">
        <v>17</v>
      </c>
      <c r="E58" s="5">
        <v>488599.87482966506</v>
      </c>
      <c r="F58" s="75">
        <v>11384.180331921636</v>
      </c>
      <c r="G58" s="5">
        <f t="shared" si="1"/>
        <v>477215.69449774345</v>
      </c>
      <c r="H58" s="6">
        <v>17765.557552536327</v>
      </c>
      <c r="I58" s="7">
        <v>1973.1900000000019</v>
      </c>
      <c r="J58" s="5">
        <f t="shared" si="2"/>
        <v>26.861847318133453</v>
      </c>
      <c r="K58" s="25">
        <f t="shared" si="4"/>
        <v>1.5722791087711361</v>
      </c>
      <c r="L58" s="36">
        <f t="shared" si="3"/>
        <v>9.00347029558041</v>
      </c>
      <c r="M58" s="26"/>
    </row>
    <row r="59" spans="1:13" x14ac:dyDescent="0.25">
      <c r="A59" t="s">
        <v>79</v>
      </c>
      <c r="B59" s="4">
        <v>74</v>
      </c>
      <c r="C59" t="str">
        <f>VLOOKUP(B59,'[1]Route types'!A:B,2,FALSE)</f>
        <v>Core Local</v>
      </c>
      <c r="D59" s="4" t="s">
        <v>17</v>
      </c>
      <c r="E59" s="5">
        <v>1076075.070144336</v>
      </c>
      <c r="F59" s="75">
        <v>52814.498305169756</v>
      </c>
      <c r="G59" s="5">
        <f t="shared" si="1"/>
        <v>1023260.5718391662</v>
      </c>
      <c r="H59" s="6">
        <v>63722.319735524921</v>
      </c>
      <c r="I59" s="7">
        <v>5171.9399999999987</v>
      </c>
      <c r="J59" s="5">
        <f t="shared" si="2"/>
        <v>16.058118663698032</v>
      </c>
      <c r="K59" s="25">
        <f t="shared" si="4"/>
        <v>0.93991467534164674</v>
      </c>
      <c r="L59" s="36">
        <f t="shared" si="3"/>
        <v>12.320777065380677</v>
      </c>
      <c r="M59" s="26"/>
    </row>
    <row r="60" spans="1:13" x14ac:dyDescent="0.25">
      <c r="A60" t="s">
        <v>79</v>
      </c>
      <c r="B60" s="4">
        <v>2</v>
      </c>
      <c r="C60" t="str">
        <f>VLOOKUP(B60,'[1]Route types'!A:B,2,FALSE)</f>
        <v>Core Local</v>
      </c>
      <c r="D60" s="4" t="s">
        <v>18</v>
      </c>
      <c r="E60" s="5">
        <v>973920.27031057153</v>
      </c>
      <c r="F60" s="75">
        <v>63494.263847684997</v>
      </c>
      <c r="G60" s="5">
        <f t="shared" si="1"/>
        <v>910426.00646288658</v>
      </c>
      <c r="H60" s="6">
        <v>75338.710611132527</v>
      </c>
      <c r="I60" s="7">
        <v>4292.5599999999977</v>
      </c>
      <c r="J60" s="5">
        <f t="shared" si="2"/>
        <v>12.084438386026164</v>
      </c>
      <c r="K60" s="25">
        <f t="shared" si="4"/>
        <v>0.73065621411046322</v>
      </c>
      <c r="L60" s="36">
        <f t="shared" si="3"/>
        <v>17.550997682299737</v>
      </c>
      <c r="M60" s="26"/>
    </row>
    <row r="61" spans="1:13" x14ac:dyDescent="0.25">
      <c r="A61" t="s">
        <v>79</v>
      </c>
      <c r="B61" s="4">
        <v>3</v>
      </c>
      <c r="C61" t="str">
        <f>VLOOKUP(B61,'[1]Route types'!A:B,2,FALSE)</f>
        <v>Core Local</v>
      </c>
      <c r="D61" s="4" t="s">
        <v>18</v>
      </c>
      <c r="E61" s="5">
        <v>843829.34674295166</v>
      </c>
      <c r="F61" s="75">
        <v>37054.430501322044</v>
      </c>
      <c r="G61" s="5">
        <f t="shared" si="1"/>
        <v>806774.91624162963</v>
      </c>
      <c r="H61" s="6">
        <v>44578.006206714024</v>
      </c>
      <c r="I61" s="7">
        <v>3884.3200000000052</v>
      </c>
      <c r="J61" s="5">
        <f t="shared" si="2"/>
        <v>18.098048452425378</v>
      </c>
      <c r="K61" s="25">
        <f t="shared" si="4"/>
        <v>1.0942545398160819</v>
      </c>
      <c r="L61" s="36">
        <f t="shared" si="3"/>
        <v>11.476399011078893</v>
      </c>
      <c r="M61" s="26"/>
    </row>
    <row r="62" spans="1:13" x14ac:dyDescent="0.25">
      <c r="A62" t="s">
        <v>79</v>
      </c>
      <c r="B62" s="4">
        <v>4</v>
      </c>
      <c r="C62" t="str">
        <f>VLOOKUP(B62,'[1]Route types'!A:B,2,FALSE)</f>
        <v>Core Local</v>
      </c>
      <c r="D62" s="4" t="s">
        <v>18</v>
      </c>
      <c r="E62" s="5">
        <v>1144867.2225314295</v>
      </c>
      <c r="F62" s="75">
        <v>62104.893698447442</v>
      </c>
      <c r="G62" s="5">
        <f t="shared" si="1"/>
        <v>1082762.3288329821</v>
      </c>
      <c r="H62" s="6">
        <v>59702.895533504146</v>
      </c>
      <c r="I62" s="7">
        <v>5346.590000000002</v>
      </c>
      <c r="J62" s="5">
        <f t="shared" si="2"/>
        <v>18.135842812269569</v>
      </c>
      <c r="K62" s="25">
        <f t="shared" si="4"/>
        <v>1.096539683982187</v>
      </c>
      <c r="L62" s="36">
        <f t="shared" si="3"/>
        <v>11.166537088780723</v>
      </c>
      <c r="M62" s="26"/>
    </row>
    <row r="63" spans="1:13" x14ac:dyDescent="0.25">
      <c r="A63" t="s">
        <v>79</v>
      </c>
      <c r="B63" s="4">
        <v>5</v>
      </c>
      <c r="C63" t="str">
        <f>VLOOKUP(B63,'[1]Route types'!A:B,2,FALSE)</f>
        <v>Core Local</v>
      </c>
      <c r="D63" s="4" t="s">
        <v>18</v>
      </c>
      <c r="E63" s="5">
        <v>1989069.6836913063</v>
      </c>
      <c r="F63" s="75">
        <v>148137.23449232173</v>
      </c>
      <c r="G63" s="5">
        <f t="shared" si="1"/>
        <v>1840932.4491989845</v>
      </c>
      <c r="H63" s="6">
        <v>178733.72445904484</v>
      </c>
      <c r="I63" s="7">
        <v>9285.1599999999944</v>
      </c>
      <c r="J63" s="5">
        <f t="shared" si="2"/>
        <v>10.299860615397275</v>
      </c>
      <c r="K63" s="25">
        <f t="shared" si="4"/>
        <v>0.62275605391922306</v>
      </c>
      <c r="L63" s="36">
        <f t="shared" si="3"/>
        <v>19.249396290321862</v>
      </c>
      <c r="M63" s="26"/>
    </row>
    <row r="64" spans="1:13" x14ac:dyDescent="0.25">
      <c r="A64" t="s">
        <v>79</v>
      </c>
      <c r="B64" s="4">
        <v>6</v>
      </c>
      <c r="C64" t="str">
        <f>VLOOKUP(B64,'[1]Route types'!A:B,2,FALSE)</f>
        <v>Core Local</v>
      </c>
      <c r="D64" s="4" t="s">
        <v>18</v>
      </c>
      <c r="E64" s="5">
        <v>1666068.7877732483</v>
      </c>
      <c r="F64" s="75">
        <v>84678.212913688665</v>
      </c>
      <c r="G64" s="5">
        <f t="shared" si="1"/>
        <v>1581390.5748595595</v>
      </c>
      <c r="H64" s="6">
        <v>90211.854817447253</v>
      </c>
      <c r="I64" s="7">
        <v>7472.8799999999956</v>
      </c>
      <c r="J64" s="5">
        <f t="shared" si="2"/>
        <v>17.529742383189685</v>
      </c>
      <c r="K64" s="25">
        <f t="shared" si="4"/>
        <v>1.0598932937457715</v>
      </c>
      <c r="L64" s="36">
        <f t="shared" si="3"/>
        <v>12.071899296850384</v>
      </c>
      <c r="M64" s="26"/>
    </row>
    <row r="65" spans="1:13" x14ac:dyDescent="0.25">
      <c r="A65" t="s">
        <v>79</v>
      </c>
      <c r="B65" s="4">
        <v>7</v>
      </c>
      <c r="C65" t="str">
        <f>VLOOKUP(B65,'[1]Route types'!A:B,2,FALSE)</f>
        <v>Core Local</v>
      </c>
      <c r="D65" s="4" t="s">
        <v>18</v>
      </c>
      <c r="E65" s="5">
        <v>700378.30870264745</v>
      </c>
      <c r="F65" s="75">
        <v>18671.314396817626</v>
      </c>
      <c r="G65" s="5">
        <f t="shared" si="1"/>
        <v>681706.99430582987</v>
      </c>
      <c r="H65" s="6">
        <v>20115.178676973417</v>
      </c>
      <c r="I65" s="7">
        <v>3363.4699999999957</v>
      </c>
      <c r="J65" s="5">
        <f t="shared" si="2"/>
        <v>33.890178419653061</v>
      </c>
      <c r="K65" s="25">
        <f t="shared" si="4"/>
        <v>2.0490873194624779</v>
      </c>
      <c r="L65" s="36">
        <f t="shared" si="3"/>
        <v>5.9804840468246905</v>
      </c>
      <c r="M65" s="26"/>
    </row>
    <row r="66" spans="1:13" x14ac:dyDescent="0.25">
      <c r="A66" t="s">
        <v>79</v>
      </c>
      <c r="B66" s="4">
        <v>9</v>
      </c>
      <c r="C66" t="str">
        <f>VLOOKUP(B66,'[1]Route types'!A:B,2,FALSE)</f>
        <v>Core Local</v>
      </c>
      <c r="D66" s="4" t="s">
        <v>18</v>
      </c>
      <c r="E66" s="5">
        <v>792100.63306319213</v>
      </c>
      <c r="F66" s="75">
        <v>32506.886018717498</v>
      </c>
      <c r="G66" s="5">
        <f t="shared" si="1"/>
        <v>759593.74704447458</v>
      </c>
      <c r="H66" s="6">
        <v>35109.415472883898</v>
      </c>
      <c r="I66" s="7">
        <v>3624.4499999999957</v>
      </c>
      <c r="J66" s="5">
        <f t="shared" si="2"/>
        <v>21.635043956545864</v>
      </c>
      <c r="K66" s="25">
        <f t="shared" si="4"/>
        <v>1.3081103816692532</v>
      </c>
      <c r="L66" s="36">
        <f t="shared" si="3"/>
        <v>9.68682571780103</v>
      </c>
      <c r="M66" s="26"/>
    </row>
    <row r="67" spans="1:13" x14ac:dyDescent="0.25">
      <c r="A67" t="s">
        <v>79</v>
      </c>
      <c r="B67" s="4">
        <v>10</v>
      </c>
      <c r="C67" t="str">
        <f>VLOOKUP(B67,'[1]Route types'!A:B,2,FALSE)</f>
        <v>Core Local</v>
      </c>
      <c r="D67" s="4" t="s">
        <v>18</v>
      </c>
      <c r="E67" s="5">
        <v>1171409.0766020396</v>
      </c>
      <c r="F67" s="75">
        <v>73960.174399472715</v>
      </c>
      <c r="G67" s="5">
        <f t="shared" si="1"/>
        <v>1097448.9022025669</v>
      </c>
      <c r="H67" s="6">
        <v>102611.0986626345</v>
      </c>
      <c r="I67" s="7">
        <v>4928.3099999999977</v>
      </c>
      <c r="J67" s="5">
        <f t="shared" si="2"/>
        <v>10.695226115946456</v>
      </c>
      <c r="K67" s="25">
        <f t="shared" si="4"/>
        <v>0.64666086857367944</v>
      </c>
      <c r="L67" s="36">
        <f t="shared" si="3"/>
        <v>20.820747611784679</v>
      </c>
      <c r="M67" s="26"/>
    </row>
    <row r="68" spans="1:13" x14ac:dyDescent="0.25">
      <c r="A68" t="s">
        <v>79</v>
      </c>
      <c r="B68" s="4">
        <v>11</v>
      </c>
      <c r="C68" t="str">
        <f>VLOOKUP(B68,'[1]Route types'!A:B,2,FALSE)</f>
        <v>Core Local</v>
      </c>
      <c r="D68" s="4" t="s">
        <v>18</v>
      </c>
      <c r="E68" s="5">
        <v>790861.82774033363</v>
      </c>
      <c r="F68" s="75">
        <v>42809.966688306413</v>
      </c>
      <c r="G68" s="5">
        <f t="shared" si="1"/>
        <v>748051.86105202721</v>
      </c>
      <c r="H68" s="6">
        <v>48949.023804841796</v>
      </c>
      <c r="I68" s="7">
        <v>3532.1500000000024</v>
      </c>
      <c r="J68" s="5">
        <f t="shared" si="2"/>
        <v>15.282263115899639</v>
      </c>
      <c r="K68" s="25">
        <f t="shared" si="4"/>
        <v>0.92400491893897974</v>
      </c>
      <c r="L68" s="36">
        <f t="shared" si="3"/>
        <v>13.85813847227376</v>
      </c>
      <c r="M68" s="26"/>
    </row>
    <row r="69" spans="1:13" x14ac:dyDescent="0.25">
      <c r="A69" t="s">
        <v>79</v>
      </c>
      <c r="B69" s="4">
        <v>14</v>
      </c>
      <c r="C69" t="str">
        <f>VLOOKUP(B69,'[1]Route types'!A:B,2,FALSE)</f>
        <v>Core Local</v>
      </c>
      <c r="D69" s="4" t="s">
        <v>18</v>
      </c>
      <c r="E69" s="5">
        <v>1123751.8921736332</v>
      </c>
      <c r="F69" s="75">
        <v>58750.369580362312</v>
      </c>
      <c r="G69" s="5">
        <f t="shared" si="1"/>
        <v>1065001.522593271</v>
      </c>
      <c r="H69" s="6">
        <v>64492.426116726048</v>
      </c>
      <c r="I69" s="7">
        <v>5044.78</v>
      </c>
      <c r="J69" s="5">
        <f t="shared" si="2"/>
        <v>16.513590613969225</v>
      </c>
      <c r="K69" s="25">
        <f t="shared" ref="K69:K82" si="5">+IF(D69="Weekday",J69/$G$86,IF(D69="Saturday",J69/$G$87,IF(D69="Sunday",J69/$G$88,"NA")))</f>
        <v>0.99845414523566678</v>
      </c>
      <c r="L69" s="36">
        <f t="shared" si="3"/>
        <v>12.783991792848459</v>
      </c>
      <c r="M69" s="26"/>
    </row>
    <row r="70" spans="1:13" x14ac:dyDescent="0.25">
      <c r="A70" t="s">
        <v>79</v>
      </c>
      <c r="B70" s="4">
        <v>17</v>
      </c>
      <c r="C70" t="str">
        <f>VLOOKUP(B70,'[1]Route types'!A:B,2,FALSE)</f>
        <v>Core Local</v>
      </c>
      <c r="D70" s="4" t="s">
        <v>18</v>
      </c>
      <c r="E70" s="5">
        <v>866301.30802895152</v>
      </c>
      <c r="F70" s="75">
        <v>59197.688042342532</v>
      </c>
      <c r="G70" s="5">
        <f t="shared" ref="G70:G82" si="6">E70-F70</f>
        <v>807103.61998660897</v>
      </c>
      <c r="H70" s="6">
        <v>65333.700949707141</v>
      </c>
      <c r="I70" s="7">
        <v>3986.009999999997</v>
      </c>
      <c r="J70" s="5">
        <f t="shared" ref="J70:J82" si="7">G70/H70</f>
        <v>12.353557325765223</v>
      </c>
      <c r="K70" s="25">
        <f t="shared" si="5"/>
        <v>0.74692783711633992</v>
      </c>
      <c r="L70" s="36">
        <f t="shared" ref="L70:L82" si="8">H70/I70</f>
        <v>16.390751892169661</v>
      </c>
      <c r="M70" s="26"/>
    </row>
    <row r="71" spans="1:13" x14ac:dyDescent="0.25">
      <c r="A71" t="s">
        <v>79</v>
      </c>
      <c r="B71" s="4">
        <v>18</v>
      </c>
      <c r="C71" t="str">
        <f>VLOOKUP(B71,'[1]Route types'!A:B,2,FALSE)</f>
        <v>Core Local</v>
      </c>
      <c r="D71" s="4" t="s">
        <v>18</v>
      </c>
      <c r="E71" s="5">
        <v>1743547.3056210231</v>
      </c>
      <c r="F71" s="75">
        <v>128089.43457282784</v>
      </c>
      <c r="G71" s="5">
        <f t="shared" si="6"/>
        <v>1615457.8710481953</v>
      </c>
      <c r="H71" s="6">
        <v>175556.63730570339</v>
      </c>
      <c r="I71" s="7">
        <v>7808.8700000000081</v>
      </c>
      <c r="J71" s="5">
        <f t="shared" si="7"/>
        <v>9.2019185138249</v>
      </c>
      <c r="K71" s="25">
        <f t="shared" si="5"/>
        <v>0.55637165163082203</v>
      </c>
      <c r="L71" s="36">
        <f t="shared" si="8"/>
        <v>22.481695470113245</v>
      </c>
      <c r="M71" s="26"/>
    </row>
    <row r="72" spans="1:13" x14ac:dyDescent="0.25">
      <c r="A72" t="s">
        <v>79</v>
      </c>
      <c r="B72" s="4">
        <v>19</v>
      </c>
      <c r="C72" t="str">
        <f>VLOOKUP(B72,'[1]Route types'!A:B,2,FALSE)</f>
        <v>Core Local</v>
      </c>
      <c r="D72" s="4" t="s">
        <v>18</v>
      </c>
      <c r="E72" s="5">
        <v>471768.81439953716</v>
      </c>
      <c r="F72" s="75">
        <v>13081.622233464126</v>
      </c>
      <c r="G72" s="5">
        <f t="shared" si="6"/>
        <v>458687.19216607301</v>
      </c>
      <c r="H72" s="6">
        <v>16422.916910000848</v>
      </c>
      <c r="I72" s="7">
        <v>1877.3699999999983</v>
      </c>
      <c r="J72" s="5">
        <f t="shared" si="7"/>
        <v>27.92970302898825</v>
      </c>
      <c r="K72" s="25">
        <f t="shared" si="5"/>
        <v>1.6887016528618932</v>
      </c>
      <c r="L72" s="36">
        <f t="shared" si="8"/>
        <v>8.7478317593233417</v>
      </c>
      <c r="M72" s="26"/>
    </row>
    <row r="73" spans="1:13" x14ac:dyDescent="0.25">
      <c r="A73" t="s">
        <v>79</v>
      </c>
      <c r="B73" s="4">
        <v>21</v>
      </c>
      <c r="C73" t="str">
        <f>VLOOKUP(B73,'[1]Route types'!A:B,2,FALSE)</f>
        <v>Core Local</v>
      </c>
      <c r="D73" s="4" t="s">
        <v>18</v>
      </c>
      <c r="E73" s="5">
        <v>1752161.6665451054</v>
      </c>
      <c r="F73" s="75">
        <v>110301.76045210857</v>
      </c>
      <c r="G73" s="5">
        <f t="shared" si="6"/>
        <v>1641859.9060929967</v>
      </c>
      <c r="H73" s="6">
        <v>163911.56660624413</v>
      </c>
      <c r="I73" s="7">
        <v>8003.9400000000032</v>
      </c>
      <c r="J73" s="5">
        <f t="shared" si="7"/>
        <v>10.016742198780564</v>
      </c>
      <c r="K73" s="25">
        <f t="shared" si="5"/>
        <v>0.60563798654843659</v>
      </c>
      <c r="L73" s="36">
        <f t="shared" si="8"/>
        <v>20.478859987236795</v>
      </c>
      <c r="M73" s="26"/>
    </row>
    <row r="74" spans="1:13" x14ac:dyDescent="0.25">
      <c r="A74" t="s">
        <v>79</v>
      </c>
      <c r="B74" s="4">
        <v>22</v>
      </c>
      <c r="C74" t="str">
        <f>VLOOKUP(B74,'[1]Route types'!A:B,2,FALSE)</f>
        <v>Core Local</v>
      </c>
      <c r="D74" s="4" t="s">
        <v>18</v>
      </c>
      <c r="E74" s="5">
        <v>1076299.2660878382</v>
      </c>
      <c r="F74" s="75">
        <v>54206.733544889466</v>
      </c>
      <c r="G74" s="5">
        <f t="shared" si="6"/>
        <v>1022092.5325429487</v>
      </c>
      <c r="H74" s="6">
        <v>64721.864707539076</v>
      </c>
      <c r="I74" s="7">
        <v>5194.7100000000028</v>
      </c>
      <c r="J74" s="5">
        <f t="shared" si="7"/>
        <v>15.792074860041712</v>
      </c>
      <c r="K74" s="25">
        <f t="shared" si="5"/>
        <v>0.95482944772425093</v>
      </c>
      <c r="L74" s="36">
        <f t="shared" si="8"/>
        <v>12.459187270808004</v>
      </c>
      <c r="M74" s="26"/>
    </row>
    <row r="75" spans="1:13" x14ac:dyDescent="0.25">
      <c r="A75" t="s">
        <v>79</v>
      </c>
      <c r="B75" s="4">
        <v>54</v>
      </c>
      <c r="C75" t="str">
        <f>VLOOKUP(B75,'[1]Route types'!A:B,2,FALSE)</f>
        <v>Core Local</v>
      </c>
      <c r="D75" s="4" t="s">
        <v>18</v>
      </c>
      <c r="E75" s="5">
        <v>862818.90680432157</v>
      </c>
      <c r="F75" s="75">
        <v>67236.27075195864</v>
      </c>
      <c r="G75" s="5">
        <f t="shared" si="6"/>
        <v>795582.63605236297</v>
      </c>
      <c r="H75" s="6">
        <v>73682.716337625548</v>
      </c>
      <c r="I75" s="7">
        <v>3840.0899999999956</v>
      </c>
      <c r="J75" s="5">
        <f t="shared" si="7"/>
        <v>10.797411870741584</v>
      </c>
      <c r="K75" s="25">
        <f t="shared" si="5"/>
        <v>0.65283928202986163</v>
      </c>
      <c r="L75" s="36">
        <f t="shared" si="8"/>
        <v>19.187757666519701</v>
      </c>
      <c r="M75" s="26"/>
    </row>
    <row r="76" spans="1:13" x14ac:dyDescent="0.25">
      <c r="A76" t="s">
        <v>79</v>
      </c>
      <c r="B76" s="4">
        <v>62</v>
      </c>
      <c r="C76" t="str">
        <f>VLOOKUP(B76,'[1]Route types'!A:B,2,FALSE)</f>
        <v>Core Local</v>
      </c>
      <c r="D76" s="4" t="s">
        <v>18</v>
      </c>
      <c r="E76" s="5">
        <v>469777.23437586543</v>
      </c>
      <c r="F76" s="75">
        <v>25826.207146685396</v>
      </c>
      <c r="G76" s="5">
        <f t="shared" si="6"/>
        <v>443951.02722918004</v>
      </c>
      <c r="H76" s="6">
        <v>33650.993319243702</v>
      </c>
      <c r="I76" s="7">
        <v>2023.5</v>
      </c>
      <c r="J76" s="5">
        <f t="shared" si="7"/>
        <v>13.192806019645833</v>
      </c>
      <c r="K76" s="25">
        <f t="shared" si="5"/>
        <v>0.7976709708706593</v>
      </c>
      <c r="L76" s="36">
        <f t="shared" si="8"/>
        <v>16.630093066095231</v>
      </c>
      <c r="M76" s="26"/>
    </row>
    <row r="77" spans="1:13" x14ac:dyDescent="0.25">
      <c r="A77" t="s">
        <v>79</v>
      </c>
      <c r="B77" s="4">
        <v>63</v>
      </c>
      <c r="C77" t="str">
        <f>VLOOKUP(B77,'[1]Route types'!A:B,2,FALSE)</f>
        <v>Core Local</v>
      </c>
      <c r="D77" s="4" t="s">
        <v>18</v>
      </c>
      <c r="E77" s="5">
        <v>1106865.1918743148</v>
      </c>
      <c r="F77" s="75">
        <v>51706.867573748103</v>
      </c>
      <c r="G77" s="5">
        <f t="shared" si="6"/>
        <v>1055158.3243005667</v>
      </c>
      <c r="H77" s="6">
        <v>60150.088342449897</v>
      </c>
      <c r="I77" s="7">
        <v>4976.1699999999983</v>
      </c>
      <c r="J77" s="5">
        <f t="shared" si="7"/>
        <v>17.542091015615462</v>
      </c>
      <c r="K77" s="25">
        <f t="shared" si="5"/>
        <v>1.0606399238107724</v>
      </c>
      <c r="L77" s="36">
        <f t="shared" si="8"/>
        <v>12.087627300202749</v>
      </c>
      <c r="M77" s="26"/>
    </row>
    <row r="78" spans="1:13" x14ac:dyDescent="0.25">
      <c r="A78" t="s">
        <v>79</v>
      </c>
      <c r="B78" s="4">
        <v>64</v>
      </c>
      <c r="C78" t="str">
        <f>VLOOKUP(B78,'[1]Route types'!A:B,2,FALSE)</f>
        <v>Core Local</v>
      </c>
      <c r="D78" s="4" t="s">
        <v>18</v>
      </c>
      <c r="E78" s="5">
        <v>868778.91867466946</v>
      </c>
      <c r="F78" s="75">
        <v>52869.315932313584</v>
      </c>
      <c r="G78" s="5">
        <f t="shared" si="6"/>
        <v>815909.6027423559</v>
      </c>
      <c r="H78" s="6">
        <v>73171.790586787291</v>
      </c>
      <c r="I78" s="7">
        <v>3974.1899999999991</v>
      </c>
      <c r="J78" s="5">
        <f t="shared" si="7"/>
        <v>11.150603206499714</v>
      </c>
      <c r="K78" s="25">
        <f t="shared" si="5"/>
        <v>0.6741941382505745</v>
      </c>
      <c r="L78" s="36">
        <f t="shared" si="8"/>
        <v>18.411749460088046</v>
      </c>
      <c r="M78" s="26"/>
    </row>
    <row r="79" spans="1:13" x14ac:dyDescent="0.25">
      <c r="A79" t="s">
        <v>79</v>
      </c>
      <c r="B79" s="4">
        <v>68</v>
      </c>
      <c r="C79" t="str">
        <f>VLOOKUP(B79,'[1]Route types'!A:B,2,FALSE)</f>
        <v>Core Local</v>
      </c>
      <c r="D79" s="4" t="s">
        <v>18</v>
      </c>
      <c r="E79" s="5">
        <v>855659.66443038115</v>
      </c>
      <c r="F79" s="75">
        <v>39609.213466907189</v>
      </c>
      <c r="G79" s="5">
        <f t="shared" si="6"/>
        <v>816050.450963474</v>
      </c>
      <c r="H79" s="6">
        <v>54284.533256942843</v>
      </c>
      <c r="I79" s="7">
        <v>3866.25</v>
      </c>
      <c r="J79" s="5">
        <f t="shared" si="7"/>
        <v>15.032835358478529</v>
      </c>
      <c r="K79" s="25">
        <f t="shared" si="5"/>
        <v>0.90892387544240227</v>
      </c>
      <c r="L79" s="36">
        <f t="shared" si="8"/>
        <v>14.040616425979398</v>
      </c>
      <c r="M79" s="26"/>
    </row>
    <row r="80" spans="1:13" x14ac:dyDescent="0.25">
      <c r="A80" t="s">
        <v>79</v>
      </c>
      <c r="B80" s="4">
        <v>70</v>
      </c>
      <c r="C80" t="str">
        <f>VLOOKUP(B80,'[1]Route types'!A:B,2,FALSE)</f>
        <v>Core Local</v>
      </c>
      <c r="D80" s="4" t="s">
        <v>18</v>
      </c>
      <c r="E80" s="5">
        <v>97661.062163260605</v>
      </c>
      <c r="F80" s="75">
        <v>2979.3794383081672</v>
      </c>
      <c r="G80" s="5">
        <f t="shared" si="6"/>
        <v>94681.682724952436</v>
      </c>
      <c r="H80" s="6">
        <v>3774.0523757346232</v>
      </c>
      <c r="I80" s="7">
        <v>430.02000000000055</v>
      </c>
      <c r="J80" s="5">
        <f t="shared" si="7"/>
        <v>25.087538088689758</v>
      </c>
      <c r="K80" s="25">
        <f t="shared" si="5"/>
        <v>1.5168570533182921</v>
      </c>
      <c r="L80" s="36">
        <f t="shared" si="8"/>
        <v>8.776457782741776</v>
      </c>
      <c r="M80" s="26"/>
    </row>
    <row r="81" spans="1:13" x14ac:dyDescent="0.25">
      <c r="A81" t="s">
        <v>79</v>
      </c>
      <c r="B81" s="4">
        <v>71</v>
      </c>
      <c r="C81" t="str">
        <f>VLOOKUP(B81,'[1]Route types'!A:B,2,FALSE)</f>
        <v>Core Local</v>
      </c>
      <c r="D81" s="4" t="s">
        <v>18</v>
      </c>
      <c r="E81" s="5">
        <v>151407.53933454579</v>
      </c>
      <c r="F81" s="75">
        <v>5913.5301939185192</v>
      </c>
      <c r="G81" s="5">
        <f t="shared" si="6"/>
        <v>145494.00914062725</v>
      </c>
      <c r="H81" s="6">
        <v>6683.4611731275681</v>
      </c>
      <c r="I81" s="7">
        <v>669.1800000000004</v>
      </c>
      <c r="J81" s="5">
        <f t="shared" si="7"/>
        <v>21.769260772490192</v>
      </c>
      <c r="K81" s="25">
        <f t="shared" si="5"/>
        <v>1.3162254754349048</v>
      </c>
      <c r="L81" s="36">
        <f t="shared" si="8"/>
        <v>9.9875387386466485</v>
      </c>
      <c r="M81" s="26"/>
    </row>
    <row r="82" spans="1:13" x14ac:dyDescent="0.25">
      <c r="A82" t="s">
        <v>79</v>
      </c>
      <c r="B82" s="4">
        <v>74</v>
      </c>
      <c r="C82" t="str">
        <f>VLOOKUP(B82,'[1]Route types'!A:B,2,FALSE)</f>
        <v>Core Local</v>
      </c>
      <c r="D82" s="4" t="s">
        <v>18</v>
      </c>
      <c r="E82" s="5">
        <v>899035.55224711716</v>
      </c>
      <c r="F82" s="75">
        <v>43217.571352736522</v>
      </c>
      <c r="G82" s="5">
        <f t="shared" si="6"/>
        <v>855817.9808943806</v>
      </c>
      <c r="H82" s="6">
        <v>52280.132234423494</v>
      </c>
      <c r="I82" s="7">
        <v>3969.179999999998</v>
      </c>
      <c r="J82" s="5">
        <f t="shared" si="7"/>
        <v>16.369851113935653</v>
      </c>
      <c r="K82" s="25">
        <f t="shared" si="5"/>
        <v>0.98976328550700077</v>
      </c>
      <c r="L82" s="36">
        <f t="shared" si="8"/>
        <v>13.171519617256845</v>
      </c>
      <c r="M82" s="26"/>
    </row>
    <row r="84" spans="1:13" ht="15.75" thickBot="1" x14ac:dyDescent="0.3"/>
    <row r="85" spans="1:13" ht="36" x14ac:dyDescent="0.25">
      <c r="F85" s="70" t="s">
        <v>20</v>
      </c>
      <c r="G85" s="58" t="s">
        <v>21</v>
      </c>
      <c r="H85" s="58" t="s">
        <v>22</v>
      </c>
      <c r="I85" s="58" t="s">
        <v>23</v>
      </c>
      <c r="J85" s="59" t="s">
        <v>24</v>
      </c>
    </row>
    <row r="86" spans="1:13" x14ac:dyDescent="0.25">
      <c r="F86" s="24" t="s">
        <v>14</v>
      </c>
      <c r="G86" s="11">
        <f>AVERAGEIF($D$5:$D$82,"Weekday",J5:J82)</f>
        <v>15.529005251606945</v>
      </c>
      <c r="H86" s="50">
        <f>G86*1.2</f>
        <v>18.634806301928332</v>
      </c>
      <c r="I86" s="51">
        <f>G86*1.35</f>
        <v>20.964157089669378</v>
      </c>
      <c r="J86" s="52">
        <f>G86*1.6</f>
        <v>24.846408402571114</v>
      </c>
    </row>
    <row r="87" spans="1:13" x14ac:dyDescent="0.25">
      <c r="F87" s="24" t="s">
        <v>17</v>
      </c>
      <c r="G87" s="11">
        <f>AVERAGEIF($D$5:$D$82,"Saturday",J5:J82)</f>
        <v>17.084655751184133</v>
      </c>
      <c r="H87" s="50">
        <f>G87*1.2</f>
        <v>20.501586901420961</v>
      </c>
      <c r="I87" s="51">
        <f>G87*1.35</f>
        <v>23.064285264098583</v>
      </c>
      <c r="J87" s="52">
        <f>G87*1.6</f>
        <v>27.335449201894615</v>
      </c>
    </row>
    <row r="88" spans="1:13" ht="15.75" thickBot="1" x14ac:dyDescent="0.3">
      <c r="F88" s="28" t="s">
        <v>18</v>
      </c>
      <c r="G88" s="47">
        <f>AVERAGEIF($D$5:$D$82,"Sunday",J5:J82)</f>
        <v>16.539157749774773</v>
      </c>
      <c r="H88" s="53">
        <f>G88*1.2</f>
        <v>19.846989299729728</v>
      </c>
      <c r="I88" s="54">
        <f>G88*1.35</f>
        <v>22.327862962195944</v>
      </c>
      <c r="J88" s="55">
        <f>G88*1.6</f>
        <v>26.462652399639637</v>
      </c>
    </row>
    <row r="90" spans="1:13" hidden="1" x14ac:dyDescent="0.25">
      <c r="D90">
        <f>COUNTIF(D5:D82, "Weekday")</f>
        <v>29</v>
      </c>
    </row>
    <row r="91" spans="1:13" hidden="1" x14ac:dyDescent="0.25">
      <c r="D91">
        <f>COUNTIF(D5:D82, "Saturday")</f>
        <v>26</v>
      </c>
    </row>
    <row r="92" spans="1:13" hidden="1" x14ac:dyDescent="0.25">
      <c r="D92">
        <f>COUNTIF(D5:D82, "Sunday")</f>
        <v>23</v>
      </c>
    </row>
  </sheetData>
  <conditionalFormatting sqref="K1">
    <cfRule type="cellIs" dxfId="26" priority="9" operator="greaterThan">
      <formula>1.6</formula>
    </cfRule>
  </conditionalFormatting>
  <conditionalFormatting sqref="L5:L82">
    <cfRule type="cellIs" dxfId="25" priority="4" operator="lessThan">
      <formula>20</formula>
    </cfRule>
  </conditionalFormatting>
  <conditionalFormatting sqref="K5:K82">
    <cfRule type="cellIs" dxfId="24" priority="1" operator="greaterThan">
      <formula>1.6</formula>
    </cfRule>
    <cfRule type="cellIs" dxfId="23" priority="2" operator="between">
      <formula>1.35</formula>
      <formula>1.6</formula>
    </cfRule>
    <cfRule type="cellIs" dxfId="22" priority="3" operator="between">
      <formula>1.2</formula>
      <formula>1.35</formula>
    </cfRule>
  </conditionalFormatting>
  <pageMargins left="0.7" right="0.7" top="0.75" bottom="0.75" header="0.3" footer="0.3"/>
  <pageSetup scale="61" fitToHeight="0" orientation="landscape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28905-B2E4-4E35-B68E-DEBFB3B537AF}">
  <dimension ref="A1:M8"/>
  <sheetViews>
    <sheetView workbookViewId="0">
      <selection activeCell="I13" sqref="I13"/>
    </sheetView>
  </sheetViews>
  <sheetFormatPr defaultRowHeight="15" x14ac:dyDescent="0.25"/>
  <cols>
    <col min="1" max="1" width="15.140625" bestFit="1" customWidth="1"/>
    <col min="2" max="2" width="13.7109375" bestFit="1" customWidth="1"/>
    <col min="3" max="3" width="15.7109375" bestFit="1" customWidth="1"/>
    <col min="4" max="4" width="14.42578125" bestFit="1" customWidth="1"/>
    <col min="5" max="5" width="12.5703125" bestFit="1" customWidth="1"/>
    <col min="6" max="6" width="13.5703125" bestFit="1" customWidth="1"/>
    <col min="7" max="7" width="12.5703125" bestFit="1" customWidth="1"/>
    <col min="8" max="8" width="23.5703125" bestFit="1" customWidth="1"/>
    <col min="9" max="9" width="14.28515625" bestFit="1" customWidth="1"/>
    <col min="10" max="11" width="12.5703125" bestFit="1" customWidth="1"/>
    <col min="12" max="12" width="10" bestFit="1" customWidth="1"/>
    <col min="13" max="13" width="13.7109375" bestFit="1" customWidth="1"/>
  </cols>
  <sheetData>
    <row r="1" spans="1:13" x14ac:dyDescent="0.25">
      <c r="A1" s="110" t="s">
        <v>101</v>
      </c>
      <c r="B1" s="110" t="s">
        <v>27</v>
      </c>
      <c r="C1" s="110" t="s">
        <v>29</v>
      </c>
      <c r="D1" s="110" t="s">
        <v>31</v>
      </c>
      <c r="E1" s="110" t="s">
        <v>92</v>
      </c>
      <c r="F1" s="110" t="s">
        <v>93</v>
      </c>
      <c r="G1" s="110" t="s">
        <v>95</v>
      </c>
      <c r="H1" s="110" t="s">
        <v>56</v>
      </c>
      <c r="I1" s="110" t="s">
        <v>94</v>
      </c>
      <c r="J1" s="110" t="s">
        <v>72</v>
      </c>
      <c r="K1" s="110" t="s">
        <v>43</v>
      </c>
      <c r="L1" s="110" t="s">
        <v>46</v>
      </c>
      <c r="M1" s="114" t="s">
        <v>98</v>
      </c>
    </row>
    <row r="2" spans="1:13" x14ac:dyDescent="0.25">
      <c r="A2" s="74" t="s">
        <v>73</v>
      </c>
      <c r="B2" s="115"/>
      <c r="C2" s="115"/>
      <c r="D2" s="115"/>
      <c r="E2" s="115"/>
      <c r="F2" s="115"/>
      <c r="G2" s="115"/>
      <c r="H2" s="115">
        <f>('Operating Cost'!H2-'Operating Cost'!H13)/Trips!H2</f>
        <v>22.758211399575814</v>
      </c>
      <c r="I2" s="115"/>
      <c r="J2" s="115">
        <f>('Operating Cost'!J2-'Operating Cost'!J13)/Trips!J2</f>
        <v>37.822935440069131</v>
      </c>
      <c r="K2" s="115"/>
      <c r="L2" s="115"/>
      <c r="M2" s="115">
        <f>('Operating Cost'!M2-'Operating Cost'!M13)/Trips!M2</f>
        <v>26.463971578084358</v>
      </c>
    </row>
    <row r="3" spans="1:13" x14ac:dyDescent="0.25">
      <c r="A3" s="74" t="s">
        <v>79</v>
      </c>
      <c r="B3" s="115">
        <f>('Operating Cost'!B3-'Operating Cost'!B14)/Trips!B3</f>
        <v>12.623402324837279</v>
      </c>
      <c r="C3" s="115">
        <f>('Operating Cost'!C3-'Operating Cost'!C14)/Trips!C3</f>
        <v>19.405751332672395</v>
      </c>
      <c r="D3" s="115">
        <f>('Operating Cost'!D3-'Operating Cost'!D14)/Trips!D3</f>
        <v>14.983656539865628</v>
      </c>
      <c r="E3" s="115">
        <f>('Operating Cost'!E3-'Operating Cost'!E14)/Trips!E3</f>
        <v>7.9632458012814809</v>
      </c>
      <c r="F3" s="115">
        <f>('Operating Cost'!F3-'Operating Cost'!F14)/Trips!F3</f>
        <v>26.313217293499662</v>
      </c>
      <c r="G3" s="115">
        <f>('Operating Cost'!G3-'Operating Cost'!G14)/Trips!G3</f>
        <v>7.3357500617383344</v>
      </c>
      <c r="H3" s="115">
        <f>('Operating Cost'!H3-'Operating Cost'!H14)/Trips!H3</f>
        <v>25.495362849145515</v>
      </c>
      <c r="I3" s="115">
        <f>('Operating Cost'!I3-'Operating Cost'!I14)/Trips!I3</f>
        <v>174.33916177234568</v>
      </c>
      <c r="J3" s="115"/>
      <c r="K3" s="115"/>
      <c r="L3" s="115"/>
      <c r="M3" s="115">
        <f>('Operating Cost'!M3-'Operating Cost'!M14)/Trips!M3</f>
        <v>11.406669172169295</v>
      </c>
    </row>
    <row r="4" spans="1:13" x14ac:dyDescent="0.25">
      <c r="A4" s="74" t="s">
        <v>15</v>
      </c>
      <c r="B4" s="115">
        <f>('Operating Cost'!B4-'Operating Cost'!B15)/Trips!B4</f>
        <v>14.457436187120388</v>
      </c>
      <c r="C4" s="115">
        <f>('Operating Cost'!C4-'Operating Cost'!C15)/Trips!C4</f>
        <v>14.252068413709571</v>
      </c>
      <c r="D4" s="115">
        <f>('Operating Cost'!D4-'Operating Cost'!D15)/Trips!D4</f>
        <v>13.989850005414935</v>
      </c>
      <c r="E4" s="115"/>
      <c r="F4" s="115"/>
      <c r="G4" s="115"/>
      <c r="H4" s="115">
        <f>('Operating Cost'!H4-'Operating Cost'!H15)/Trips!H4</f>
        <v>68.384424516364106</v>
      </c>
      <c r="I4" s="115"/>
      <c r="J4" s="115">
        <f>('Operating Cost'!J4-'Operating Cost'!J15)/Trips!J4</f>
        <v>61.150159053974619</v>
      </c>
      <c r="K4" s="115">
        <f>('Operating Cost'!K4-'Operating Cost'!K15)/Trips!K4</f>
        <v>42.59384573501714</v>
      </c>
      <c r="L4" s="115">
        <f>('Operating Cost'!L4-'Operating Cost'!L15)/Trips!L4</f>
        <v>5.1873520161147821</v>
      </c>
      <c r="M4" s="115">
        <f>('Operating Cost'!M4-'Operating Cost'!M15)/Trips!M4</f>
        <v>32.552176708377964</v>
      </c>
    </row>
    <row r="5" spans="1:13" x14ac:dyDescent="0.25">
      <c r="A5" s="74" t="s">
        <v>16</v>
      </c>
      <c r="B5" s="115"/>
      <c r="C5" s="115"/>
      <c r="D5" s="115">
        <f>('Operating Cost'!D5-'Operating Cost'!D16)/Trips!D5</f>
        <v>42.88196762187011</v>
      </c>
      <c r="E5" s="115"/>
      <c r="F5" s="115"/>
      <c r="G5" s="115"/>
      <c r="H5" s="115">
        <f>('Operating Cost'!H5-'Operating Cost'!H16)/Trips!H5</f>
        <v>30.309334239202176</v>
      </c>
      <c r="I5" s="115"/>
      <c r="J5" s="115"/>
      <c r="K5" s="115"/>
      <c r="L5" s="115"/>
      <c r="M5" s="115">
        <f>('Operating Cost'!M5-'Operating Cost'!M16)/Trips!M5</f>
        <v>36.912755966038212</v>
      </c>
    </row>
    <row r="6" spans="1:13" x14ac:dyDescent="0.25">
      <c r="A6" s="74" t="s">
        <v>76</v>
      </c>
      <c r="B6" s="115"/>
      <c r="C6" s="115"/>
      <c r="D6" s="115"/>
      <c r="E6" s="115"/>
      <c r="F6" s="115"/>
      <c r="G6" s="115"/>
      <c r="H6" s="115">
        <f>('Operating Cost'!H6-'Operating Cost'!H17)/Trips!H6</f>
        <v>55.074791563180916</v>
      </c>
      <c r="I6" s="115"/>
      <c r="J6" s="115">
        <f>('Operating Cost'!J6-'Operating Cost'!J17)/Trips!J6</f>
        <v>32.875354609224651</v>
      </c>
      <c r="K6" s="115"/>
      <c r="L6" s="115"/>
      <c r="M6" s="115">
        <f>('Operating Cost'!M6-'Operating Cost'!M17)/Trips!M6</f>
        <v>46.557342091170604</v>
      </c>
    </row>
    <row r="7" spans="1:13" x14ac:dyDescent="0.25">
      <c r="A7" s="74" t="s">
        <v>19</v>
      </c>
      <c r="B7" s="115"/>
      <c r="C7" s="115"/>
      <c r="D7" s="115"/>
      <c r="E7" s="115"/>
      <c r="F7" s="115"/>
      <c r="G7" s="115"/>
      <c r="H7" s="115">
        <f>('Operating Cost'!H7-'Operating Cost'!H18)/Trips!H7</f>
        <v>78.291924376527263</v>
      </c>
      <c r="I7" s="115"/>
      <c r="J7" s="115">
        <f>('Operating Cost'!J7-'Operating Cost'!J18)/Trips!J7</f>
        <v>14.937542885410185</v>
      </c>
      <c r="K7" s="115"/>
      <c r="L7" s="115"/>
      <c r="M7" s="115">
        <f>('Operating Cost'!M7-'Operating Cost'!M18)/Trips!M7</f>
        <v>51.501531755243057</v>
      </c>
    </row>
    <row r="8" spans="1:13" x14ac:dyDescent="0.25">
      <c r="A8" s="74" t="s">
        <v>98</v>
      </c>
      <c r="B8" s="115">
        <f>('Operating Cost'!B8-'Operating Cost'!B19)/Trips!B8</f>
        <v>12.632013355489477</v>
      </c>
      <c r="C8" s="115">
        <f>('Operating Cost'!C8-'Operating Cost'!C19)/Trips!C8</f>
        <v>17.436625183559542</v>
      </c>
      <c r="D8" s="115">
        <f>('Operating Cost'!D8-'Operating Cost'!D19)/Trips!D8</f>
        <v>19.055710171121351</v>
      </c>
      <c r="E8" s="115">
        <f>('Operating Cost'!E8-'Operating Cost'!E19)/Trips!E8</f>
        <v>7.9632458012814809</v>
      </c>
      <c r="F8" s="115">
        <f>('Operating Cost'!F8-'Operating Cost'!F19)/Trips!F8</f>
        <v>26.313217293499662</v>
      </c>
      <c r="G8" s="115">
        <f>('Operating Cost'!G8-'Operating Cost'!G19)/Trips!G8</f>
        <v>7.3357500617383344</v>
      </c>
      <c r="H8" s="115">
        <f>('Operating Cost'!H8-'Operating Cost'!H19)/Trips!H8</f>
        <v>31.261285463241645</v>
      </c>
      <c r="I8" s="115">
        <f>('Operating Cost'!I8-'Operating Cost'!I19)/Trips!I8</f>
        <v>174.33916177234568</v>
      </c>
      <c r="J8" s="115">
        <f>('Operating Cost'!J8-'Operating Cost'!J19)/Trips!J8</f>
        <v>42.503961234023713</v>
      </c>
      <c r="K8" s="115">
        <f>('Operating Cost'!K8-'Operating Cost'!K19)/Trips!K8</f>
        <v>42.59384573501714</v>
      </c>
      <c r="L8" s="115">
        <f>('Operating Cost'!L8-'Operating Cost'!L19)/Trips!L8</f>
        <v>5.1873520161147821</v>
      </c>
      <c r="M8" s="115">
        <f>('Operating Cost'!M8-'Operating Cost'!M19)/Trips!M8</f>
        <v>13.838402169656643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54F3-81D0-4535-830B-C2B0A3333498}">
  <sheetPr>
    <pageSetUpPr fitToPage="1"/>
  </sheetPr>
  <dimension ref="A1:Q47"/>
  <sheetViews>
    <sheetView workbookViewId="0">
      <selection activeCell="E1" sqref="E1:G1048576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2.7109375" bestFit="1" customWidth="1"/>
    <col min="6" max="6" width="11.85546875" bestFit="1" customWidth="1"/>
    <col min="7" max="7" width="12.7109375" bestFit="1" customWidth="1"/>
    <col min="8" max="10" width="11.7109375" customWidth="1"/>
    <col min="11" max="11" width="14.140625" customWidth="1"/>
    <col min="12" max="12" width="11.7109375" customWidth="1"/>
    <col min="13" max="13" width="35.7109375" customWidth="1"/>
    <col min="14" max="14" width="14.7109375" bestFit="1" customWidth="1"/>
    <col min="15" max="15" width="13.7109375" bestFit="1" customWidth="1"/>
    <col min="16" max="16" width="13.85546875" bestFit="1" customWidth="1"/>
  </cols>
  <sheetData>
    <row r="1" spans="1:17" ht="18.75" x14ac:dyDescent="0.3">
      <c r="A1" s="15" t="s">
        <v>28</v>
      </c>
    </row>
    <row r="2" spans="1:17" ht="46.5" x14ac:dyDescent="0.7">
      <c r="A2" s="148" t="s">
        <v>60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7" ht="15" customHeight="1" thickBot="1" x14ac:dyDescent="0.75">
      <c r="A3" s="56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ht="48" x14ac:dyDescent="0.25">
      <c r="A4" s="17" t="s">
        <v>2</v>
      </c>
      <c r="B4" s="18" t="s">
        <v>3</v>
      </c>
      <c r="C4" s="19" t="s">
        <v>4</v>
      </c>
      <c r="D4" s="19" t="s">
        <v>5</v>
      </c>
      <c r="E4" s="20" t="s">
        <v>6</v>
      </c>
      <c r="F4" s="71" t="s">
        <v>7</v>
      </c>
      <c r="G4" s="20" t="s">
        <v>8</v>
      </c>
      <c r="H4" s="21" t="s">
        <v>9</v>
      </c>
      <c r="I4" s="21" t="s">
        <v>10</v>
      </c>
      <c r="J4" s="22" t="s">
        <v>11</v>
      </c>
      <c r="K4" s="23" t="s">
        <v>12</v>
      </c>
      <c r="L4" s="23" t="s">
        <v>13</v>
      </c>
      <c r="M4" s="57" t="s">
        <v>90</v>
      </c>
    </row>
    <row r="5" spans="1:17" x14ac:dyDescent="0.25">
      <c r="A5" t="s">
        <v>15</v>
      </c>
      <c r="B5" s="4">
        <v>16</v>
      </c>
      <c r="C5" t="s">
        <v>29</v>
      </c>
      <c r="D5" s="4" t="s">
        <v>14</v>
      </c>
      <c r="E5" s="5">
        <v>741688</v>
      </c>
      <c r="F5" s="75">
        <v>34257.246000000086</v>
      </c>
      <c r="G5" s="5">
        <f>E5-F5</f>
        <v>707430.75399999996</v>
      </c>
      <c r="H5" s="6">
        <v>42450</v>
      </c>
      <c r="I5" s="7">
        <v>7390</v>
      </c>
      <c r="J5" s="5">
        <f>G5/H5</f>
        <v>16.665035429917548</v>
      </c>
      <c r="K5" s="38">
        <f>+IF(D5="Weekday",J5/$G$41,IF(D5="Saturday",J5/$G$42,IF(D5="Sunday",J5/$G$43,"NA")))</f>
        <v>0.94033192098954266</v>
      </c>
      <c r="L5" s="39">
        <f>H5/I5</f>
        <v>5.7442489851150205</v>
      </c>
      <c r="M5" s="26"/>
    </row>
    <row r="6" spans="1:17" x14ac:dyDescent="0.25">
      <c r="A6" t="s">
        <v>15</v>
      </c>
      <c r="B6" s="4">
        <v>27</v>
      </c>
      <c r="C6" t="s">
        <v>29</v>
      </c>
      <c r="D6" s="4" t="s">
        <v>14</v>
      </c>
      <c r="E6" s="5">
        <v>254494</v>
      </c>
      <c r="F6" s="75">
        <v>4003.3709999999992</v>
      </c>
      <c r="G6" s="5">
        <f t="shared" ref="G6:G38" si="0">E6-F6</f>
        <v>250490.62900000002</v>
      </c>
      <c r="H6" s="6">
        <v>5381</v>
      </c>
      <c r="I6" s="7">
        <v>2808</v>
      </c>
      <c r="J6" s="5">
        <f t="shared" ref="J6:J38" si="1">G6/H6</f>
        <v>46.550943876602865</v>
      </c>
      <c r="K6" s="38">
        <f t="shared" ref="K6:K37" si="2">+IF(D6="Weekday",J6/$G$41,IF(D6="Saturday",J6/$G$42,IF(D6="Sunday",J6/$G$43,"NA")))</f>
        <v>2.6266573907655313</v>
      </c>
      <c r="L6" s="39">
        <f t="shared" ref="L6:L38" si="3">H6/I6</f>
        <v>1.9163105413105412</v>
      </c>
      <c r="M6" s="26"/>
    </row>
    <row r="7" spans="1:17" x14ac:dyDescent="0.25">
      <c r="A7" t="s">
        <v>15</v>
      </c>
      <c r="B7" s="4">
        <v>30</v>
      </c>
      <c r="C7" t="s">
        <v>29</v>
      </c>
      <c r="D7" s="4" t="s">
        <v>14</v>
      </c>
      <c r="E7" s="5">
        <v>870297.25172606832</v>
      </c>
      <c r="F7" s="75">
        <v>55379.749999999993</v>
      </c>
      <c r="G7" s="5">
        <f t="shared" si="0"/>
        <v>814917.50172606832</v>
      </c>
      <c r="H7" s="6">
        <v>57878</v>
      </c>
      <c r="I7" s="7">
        <v>8962</v>
      </c>
      <c r="J7" s="5">
        <f t="shared" si="1"/>
        <v>14.079918133419751</v>
      </c>
      <c r="K7" s="38">
        <f t="shared" si="2"/>
        <v>0.79446554563008176</v>
      </c>
      <c r="L7" s="39">
        <f t="shared" si="3"/>
        <v>6.4581566614594959</v>
      </c>
      <c r="M7" s="26"/>
    </row>
    <row r="8" spans="1:17" x14ac:dyDescent="0.25">
      <c r="A8" t="s">
        <v>15</v>
      </c>
      <c r="B8" s="4">
        <v>33</v>
      </c>
      <c r="C8" t="s">
        <v>29</v>
      </c>
      <c r="D8" s="4" t="s">
        <v>14</v>
      </c>
      <c r="E8" s="5">
        <v>27353</v>
      </c>
      <c r="F8" s="75">
        <v>1762.6639999999993</v>
      </c>
      <c r="G8" s="5">
        <f t="shared" si="0"/>
        <v>25590.335999999999</v>
      </c>
      <c r="H8" s="6">
        <v>2426</v>
      </c>
      <c r="I8" s="7">
        <v>259</v>
      </c>
      <c r="J8" s="5">
        <f t="shared" si="1"/>
        <v>10.548366034624896</v>
      </c>
      <c r="K8" s="38">
        <f t="shared" si="2"/>
        <v>0.59519617215051712</v>
      </c>
      <c r="L8" s="39">
        <f t="shared" si="3"/>
        <v>9.3667953667953672</v>
      </c>
      <c r="M8" s="26"/>
    </row>
    <row r="9" spans="1:17" x14ac:dyDescent="0.25">
      <c r="A9" t="s">
        <v>15</v>
      </c>
      <c r="B9" s="4">
        <v>80</v>
      </c>
      <c r="C9" t="s">
        <v>29</v>
      </c>
      <c r="D9" s="4" t="s">
        <v>14</v>
      </c>
      <c r="E9" s="5">
        <v>344622</v>
      </c>
      <c r="F9" s="75">
        <v>47797.950000000055</v>
      </c>
      <c r="G9" s="5">
        <f t="shared" si="0"/>
        <v>296824.04999999993</v>
      </c>
      <c r="H9" s="6">
        <v>46530</v>
      </c>
      <c r="I9" s="7">
        <v>3539</v>
      </c>
      <c r="J9" s="5">
        <f t="shared" si="1"/>
        <v>6.3791972920696312</v>
      </c>
      <c r="K9" s="38">
        <f t="shared" si="2"/>
        <v>0.35994900036361954</v>
      </c>
      <c r="L9" s="39">
        <f t="shared" si="3"/>
        <v>13.147781859282283</v>
      </c>
      <c r="M9" s="26"/>
    </row>
    <row r="10" spans="1:17" x14ac:dyDescent="0.25">
      <c r="A10" t="s">
        <v>15</v>
      </c>
      <c r="B10" s="4">
        <v>83</v>
      </c>
      <c r="C10" t="s">
        <v>29</v>
      </c>
      <c r="D10" s="4" t="s">
        <v>14</v>
      </c>
      <c r="E10" s="5">
        <v>637234</v>
      </c>
      <c r="F10" s="75">
        <v>33797.533000000032</v>
      </c>
      <c r="G10" s="5">
        <f t="shared" si="0"/>
        <v>603436.46699999995</v>
      </c>
      <c r="H10" s="6">
        <v>39669</v>
      </c>
      <c r="I10" s="7">
        <v>7330</v>
      </c>
      <c r="J10" s="5">
        <f t="shared" si="1"/>
        <v>15.211789230885577</v>
      </c>
      <c r="K10" s="38">
        <f t="shared" si="2"/>
        <v>0.85833186789915172</v>
      </c>
      <c r="L10" s="39">
        <f t="shared" si="3"/>
        <v>5.4118690313778988</v>
      </c>
      <c r="M10" s="27"/>
      <c r="N10" s="10"/>
      <c r="O10" s="10"/>
      <c r="P10" s="10"/>
      <c r="Q10" s="10"/>
    </row>
    <row r="11" spans="1:17" x14ac:dyDescent="0.25">
      <c r="A11" t="s">
        <v>15</v>
      </c>
      <c r="B11" s="4">
        <v>84</v>
      </c>
      <c r="C11" t="s">
        <v>29</v>
      </c>
      <c r="D11" s="4" t="s">
        <v>14</v>
      </c>
      <c r="E11" s="5">
        <v>678735</v>
      </c>
      <c r="F11" s="75">
        <v>43308.388000000006</v>
      </c>
      <c r="G11" s="5">
        <f t="shared" si="0"/>
        <v>635426.61199999996</v>
      </c>
      <c r="H11" s="6">
        <v>43762</v>
      </c>
      <c r="I11" s="7">
        <v>7379</v>
      </c>
      <c r="J11" s="5">
        <f t="shared" si="1"/>
        <v>14.520054202275947</v>
      </c>
      <c r="K11" s="38">
        <f t="shared" si="2"/>
        <v>0.81930041603073711</v>
      </c>
      <c r="L11" s="39">
        <f t="shared" si="3"/>
        <v>5.9306139043230788</v>
      </c>
      <c r="M11" s="26"/>
      <c r="N11" s="11"/>
      <c r="O11" s="12"/>
      <c r="P11" s="11"/>
      <c r="Q11" s="13"/>
    </row>
    <row r="12" spans="1:17" x14ac:dyDescent="0.25">
      <c r="A12" t="s">
        <v>15</v>
      </c>
      <c r="B12" s="4">
        <v>87</v>
      </c>
      <c r="C12" t="s">
        <v>29</v>
      </c>
      <c r="D12" s="4" t="s">
        <v>14</v>
      </c>
      <c r="E12" s="5">
        <v>1142170</v>
      </c>
      <c r="F12" s="75">
        <v>104495.26499999959</v>
      </c>
      <c r="G12" s="5">
        <f t="shared" si="0"/>
        <v>1037674.7350000005</v>
      </c>
      <c r="H12" s="6">
        <v>93428</v>
      </c>
      <c r="I12" s="7">
        <v>12084</v>
      </c>
      <c r="J12" s="5">
        <f t="shared" si="1"/>
        <v>11.10667824420945</v>
      </c>
      <c r="K12" s="38">
        <f t="shared" si="2"/>
        <v>0.6266991830356945</v>
      </c>
      <c r="L12" s="39">
        <f t="shared" si="3"/>
        <v>7.7315458457464414</v>
      </c>
      <c r="M12" s="26"/>
      <c r="N12" s="11"/>
      <c r="O12" s="12"/>
      <c r="P12" s="11"/>
      <c r="Q12" s="13"/>
    </row>
    <row r="13" spans="1:17" x14ac:dyDescent="0.25">
      <c r="A13" t="s">
        <v>15</v>
      </c>
      <c r="B13" s="4">
        <v>16</v>
      </c>
      <c r="C13" t="s">
        <v>29</v>
      </c>
      <c r="D13" s="4" t="s">
        <v>17</v>
      </c>
      <c r="E13" s="5">
        <v>151118</v>
      </c>
      <c r="F13" s="75">
        <v>4804.7409999999982</v>
      </c>
      <c r="G13" s="5">
        <f t="shared" si="0"/>
        <v>146313.25899999999</v>
      </c>
      <c r="H13" s="6">
        <v>7009</v>
      </c>
      <c r="I13" s="7">
        <v>1376</v>
      </c>
      <c r="J13" s="5">
        <f t="shared" si="1"/>
        <v>20.875054786702808</v>
      </c>
      <c r="K13" s="38">
        <f t="shared" si="2"/>
        <v>0.9988408511266994</v>
      </c>
      <c r="L13" s="39">
        <f t="shared" si="3"/>
        <v>5.09375</v>
      </c>
      <c r="M13" s="26"/>
      <c r="N13" s="11"/>
      <c r="O13" s="12"/>
      <c r="P13" s="11"/>
    </row>
    <row r="14" spans="1:17" x14ac:dyDescent="0.25">
      <c r="A14" t="s">
        <v>15</v>
      </c>
      <c r="B14" s="4">
        <v>30</v>
      </c>
      <c r="C14" t="s">
        <v>29</v>
      </c>
      <c r="D14" s="4" t="s">
        <v>17</v>
      </c>
      <c r="E14" s="5">
        <v>153622.53130914617</v>
      </c>
      <c r="F14" s="75">
        <v>6796.1039999999985</v>
      </c>
      <c r="G14" s="5">
        <f t="shared" si="0"/>
        <v>146826.42730914618</v>
      </c>
      <c r="H14" s="6">
        <v>7945</v>
      </c>
      <c r="I14" s="7">
        <v>1617</v>
      </c>
      <c r="J14" s="5">
        <f t="shared" si="1"/>
        <v>18.480355860182023</v>
      </c>
      <c r="K14" s="38">
        <f t="shared" si="2"/>
        <v>0.88425800866719861</v>
      </c>
      <c r="L14" s="39">
        <f t="shared" si="3"/>
        <v>4.9134199134199132</v>
      </c>
      <c r="M14" s="26"/>
      <c r="N14" s="11"/>
      <c r="O14" s="12"/>
      <c r="P14" s="11"/>
    </row>
    <row r="15" spans="1:17" x14ac:dyDescent="0.25">
      <c r="A15" t="s">
        <v>15</v>
      </c>
      <c r="B15" s="4">
        <v>33</v>
      </c>
      <c r="C15" t="s">
        <v>29</v>
      </c>
      <c r="D15" s="4" t="s">
        <v>17</v>
      </c>
      <c r="E15" s="5">
        <v>4459</v>
      </c>
      <c r="F15" s="75">
        <v>113.21100000000001</v>
      </c>
      <c r="G15" s="5">
        <f t="shared" si="0"/>
        <v>4345.7889999999998</v>
      </c>
      <c r="H15" s="6">
        <v>140</v>
      </c>
      <c r="I15" s="7">
        <v>37</v>
      </c>
      <c r="J15" s="5">
        <f t="shared" si="1"/>
        <v>31.041349999999998</v>
      </c>
      <c r="K15" s="38">
        <f t="shared" si="2"/>
        <v>1.4852832134300249</v>
      </c>
      <c r="L15" s="39">
        <f t="shared" si="3"/>
        <v>3.7837837837837838</v>
      </c>
      <c r="M15" s="26"/>
    </row>
    <row r="16" spans="1:17" x14ac:dyDescent="0.25">
      <c r="A16" t="s">
        <v>15</v>
      </c>
      <c r="B16" s="4">
        <v>80</v>
      </c>
      <c r="C16" t="s">
        <v>29</v>
      </c>
      <c r="D16" s="4" t="s">
        <v>17</v>
      </c>
      <c r="E16" s="5">
        <v>70590</v>
      </c>
      <c r="F16" s="75">
        <v>7512.9879999999957</v>
      </c>
      <c r="G16" s="5">
        <f t="shared" si="0"/>
        <v>63077.012000000002</v>
      </c>
      <c r="H16" s="6">
        <v>8169</v>
      </c>
      <c r="I16" s="7">
        <v>719</v>
      </c>
      <c r="J16" s="5">
        <f t="shared" si="1"/>
        <v>7.7215096094993267</v>
      </c>
      <c r="K16" s="38">
        <f t="shared" si="2"/>
        <v>0.36946294556544662</v>
      </c>
      <c r="L16" s="39">
        <f t="shared" si="3"/>
        <v>11.361613351877608</v>
      </c>
      <c r="M16" s="26"/>
    </row>
    <row r="17" spans="1:13" x14ac:dyDescent="0.25">
      <c r="A17" t="s">
        <v>15</v>
      </c>
      <c r="B17" s="4">
        <v>83</v>
      </c>
      <c r="C17" t="s">
        <v>29</v>
      </c>
      <c r="D17" s="4" t="s">
        <v>17</v>
      </c>
      <c r="E17" s="5">
        <v>114203</v>
      </c>
      <c r="F17" s="75">
        <v>4886.280999999999</v>
      </c>
      <c r="G17" s="5">
        <f t="shared" si="0"/>
        <v>109316.719</v>
      </c>
      <c r="H17" s="6">
        <v>5544</v>
      </c>
      <c r="I17" s="7">
        <v>1248</v>
      </c>
      <c r="J17" s="5">
        <f t="shared" si="1"/>
        <v>19.718022907647907</v>
      </c>
      <c r="K17" s="38">
        <f t="shared" si="2"/>
        <v>0.94347856735477442</v>
      </c>
      <c r="L17" s="39">
        <f t="shared" si="3"/>
        <v>4.4423076923076925</v>
      </c>
      <c r="M17" s="26"/>
    </row>
    <row r="18" spans="1:13" x14ac:dyDescent="0.25">
      <c r="A18" t="s">
        <v>15</v>
      </c>
      <c r="B18" s="4">
        <v>84</v>
      </c>
      <c r="C18" t="s">
        <v>29</v>
      </c>
      <c r="D18" s="4" t="s">
        <v>17</v>
      </c>
      <c r="E18" s="5">
        <v>139161</v>
      </c>
      <c r="F18" s="75">
        <v>5876.3240000000042</v>
      </c>
      <c r="G18" s="5">
        <f t="shared" si="0"/>
        <v>133284.67600000001</v>
      </c>
      <c r="H18" s="6">
        <v>6622</v>
      </c>
      <c r="I18" s="7">
        <v>1424</v>
      </c>
      <c r="J18" s="5">
        <f t="shared" si="1"/>
        <v>20.12755602536998</v>
      </c>
      <c r="K18" s="38">
        <f t="shared" si="2"/>
        <v>0.96307412827903371</v>
      </c>
      <c r="L18" s="39">
        <f t="shared" si="3"/>
        <v>4.6502808988764048</v>
      </c>
      <c r="M18" s="26"/>
    </row>
    <row r="19" spans="1:13" x14ac:dyDescent="0.25">
      <c r="A19" t="s">
        <v>15</v>
      </c>
      <c r="B19" s="4">
        <v>87</v>
      </c>
      <c r="C19" t="s">
        <v>29</v>
      </c>
      <c r="D19" s="4" t="s">
        <v>17</v>
      </c>
      <c r="E19" s="5">
        <v>181216</v>
      </c>
      <c r="F19" s="75">
        <v>11751.280000000012</v>
      </c>
      <c r="G19" s="5">
        <f t="shared" si="0"/>
        <v>169464.72</v>
      </c>
      <c r="H19" s="6">
        <v>12434</v>
      </c>
      <c r="I19" s="7">
        <v>1925</v>
      </c>
      <c r="J19" s="5">
        <f t="shared" si="1"/>
        <v>13.629139456329419</v>
      </c>
      <c r="K19" s="38">
        <f t="shared" si="2"/>
        <v>0.65213439647382931</v>
      </c>
      <c r="L19" s="39">
        <f t="shared" si="3"/>
        <v>6.4592207792207796</v>
      </c>
      <c r="M19" s="26"/>
    </row>
    <row r="20" spans="1:13" x14ac:dyDescent="0.25">
      <c r="A20" t="s">
        <v>15</v>
      </c>
      <c r="B20" s="4">
        <v>16</v>
      </c>
      <c r="C20" t="s">
        <v>29</v>
      </c>
      <c r="D20" s="4" t="s">
        <v>18</v>
      </c>
      <c r="E20" s="5">
        <v>155656</v>
      </c>
      <c r="F20" s="75">
        <v>3946.3609999999976</v>
      </c>
      <c r="G20" s="5">
        <f t="shared" si="0"/>
        <v>151709.639</v>
      </c>
      <c r="H20" s="6">
        <v>6057</v>
      </c>
      <c r="I20" s="7">
        <v>1363</v>
      </c>
      <c r="J20" s="5">
        <f t="shared" si="1"/>
        <v>25.046993396070661</v>
      </c>
      <c r="K20" s="38">
        <f t="shared" si="2"/>
        <v>1.1485226056611177</v>
      </c>
      <c r="L20" s="39">
        <f t="shared" si="3"/>
        <v>4.4438738077769626</v>
      </c>
      <c r="M20" s="26"/>
    </row>
    <row r="21" spans="1:13" x14ac:dyDescent="0.25">
      <c r="A21" t="s">
        <v>15</v>
      </c>
      <c r="B21" s="4">
        <v>30</v>
      </c>
      <c r="C21" t="s">
        <v>29</v>
      </c>
      <c r="D21" s="4" t="s">
        <v>18</v>
      </c>
      <c r="E21" s="5">
        <v>165200.67403300188</v>
      </c>
      <c r="F21" s="75">
        <v>6157.6549999999979</v>
      </c>
      <c r="G21" s="5">
        <f t="shared" si="0"/>
        <v>159043.01903300188</v>
      </c>
      <c r="H21" s="6">
        <v>7630</v>
      </c>
      <c r="I21" s="7">
        <v>1739</v>
      </c>
      <c r="J21" s="5">
        <f t="shared" si="1"/>
        <v>20.844432376540219</v>
      </c>
      <c r="K21" s="38">
        <f t="shared" si="2"/>
        <v>0.9558153910156203</v>
      </c>
      <c r="L21" s="39">
        <f t="shared" si="3"/>
        <v>4.3875790684301323</v>
      </c>
      <c r="M21" s="26"/>
    </row>
    <row r="22" spans="1:13" x14ac:dyDescent="0.25">
      <c r="A22" t="s">
        <v>15</v>
      </c>
      <c r="B22" s="4">
        <v>67</v>
      </c>
      <c r="C22" t="s">
        <v>29</v>
      </c>
      <c r="D22" s="4" t="s">
        <v>18</v>
      </c>
      <c r="E22" s="5">
        <v>161058</v>
      </c>
      <c r="F22" s="75">
        <v>5297.6570000000011</v>
      </c>
      <c r="G22" s="5">
        <f t="shared" si="0"/>
        <v>155760.34299999999</v>
      </c>
      <c r="H22" s="6">
        <v>6786</v>
      </c>
      <c r="I22" s="7">
        <v>1676</v>
      </c>
      <c r="J22" s="5">
        <f t="shared" si="1"/>
        <v>22.953189360447979</v>
      </c>
      <c r="K22" s="38">
        <f>+IF(D22="Weekday",J22/$G$41,IF(D22="Saturday",J22/$G$42,IF(D22="Sunday",J22/$G$43,"NA")))</f>
        <v>1.0525118298881508</v>
      </c>
      <c r="L22" s="39">
        <f t="shared" si="3"/>
        <v>4.0489260143198091</v>
      </c>
      <c r="M22" s="26"/>
    </row>
    <row r="23" spans="1:13" x14ac:dyDescent="0.25">
      <c r="A23" t="s">
        <v>15</v>
      </c>
      <c r="B23" s="4">
        <v>80</v>
      </c>
      <c r="C23" t="s">
        <v>29</v>
      </c>
      <c r="D23" s="4" t="s">
        <v>18</v>
      </c>
      <c r="E23" s="5">
        <v>41060</v>
      </c>
      <c r="F23" s="75">
        <v>5269.239999999998</v>
      </c>
      <c r="G23" s="5">
        <f t="shared" si="0"/>
        <v>35790.76</v>
      </c>
      <c r="H23" s="6">
        <v>5607</v>
      </c>
      <c r="I23" s="7">
        <v>419</v>
      </c>
      <c r="J23" s="5">
        <f t="shared" si="1"/>
        <v>6.3832281077224904</v>
      </c>
      <c r="K23" s="38">
        <f t="shared" si="2"/>
        <v>0.2927010704590533</v>
      </c>
      <c r="L23" s="39">
        <f t="shared" si="3"/>
        <v>13.381861575178998</v>
      </c>
      <c r="M23" s="26"/>
    </row>
    <row r="24" spans="1:13" x14ac:dyDescent="0.25">
      <c r="A24" t="s">
        <v>15</v>
      </c>
      <c r="B24" s="4">
        <v>83</v>
      </c>
      <c r="C24" t="s">
        <v>29</v>
      </c>
      <c r="D24" s="4" t="s">
        <v>18</v>
      </c>
      <c r="E24" s="5">
        <v>122788</v>
      </c>
      <c r="F24" s="75">
        <v>4126.6689999999981</v>
      </c>
      <c r="G24" s="5">
        <f t="shared" si="0"/>
        <v>118661.33100000001</v>
      </c>
      <c r="H24" s="6">
        <v>5159</v>
      </c>
      <c r="I24" s="7">
        <v>1331</v>
      </c>
      <c r="J24" s="5">
        <f t="shared" si="1"/>
        <v>23.000839503779805</v>
      </c>
      <c r="K24" s="38">
        <f t="shared" si="2"/>
        <v>1.0546968133675723</v>
      </c>
      <c r="L24" s="39">
        <f t="shared" si="3"/>
        <v>3.8760330578512399</v>
      </c>
      <c r="M24" s="26"/>
    </row>
    <row r="25" spans="1:13" x14ac:dyDescent="0.25">
      <c r="A25" t="s">
        <v>15</v>
      </c>
      <c r="B25" s="4">
        <v>84</v>
      </c>
      <c r="C25" t="s">
        <v>29</v>
      </c>
      <c r="D25" s="4" t="s">
        <v>18</v>
      </c>
      <c r="E25" s="5">
        <v>112582</v>
      </c>
      <c r="F25" s="75">
        <v>3551.221999999997</v>
      </c>
      <c r="G25" s="5">
        <f t="shared" si="0"/>
        <v>109030.77800000001</v>
      </c>
      <c r="H25" s="6">
        <v>4879</v>
      </c>
      <c r="I25" s="7">
        <v>1114</v>
      </c>
      <c r="J25" s="5">
        <f t="shared" si="1"/>
        <v>22.346951834392296</v>
      </c>
      <c r="K25" s="38">
        <f t="shared" si="2"/>
        <v>1.024712984251682</v>
      </c>
      <c r="L25" s="39">
        <f t="shared" si="3"/>
        <v>4.3797127468581687</v>
      </c>
      <c r="M25" s="26"/>
    </row>
    <row r="26" spans="1:13" x14ac:dyDescent="0.25">
      <c r="A26" t="s">
        <v>15</v>
      </c>
      <c r="B26" s="4">
        <v>87</v>
      </c>
      <c r="C26" t="s">
        <v>29</v>
      </c>
      <c r="D26" s="4" t="s">
        <v>18</v>
      </c>
      <c r="E26" s="5">
        <v>191971</v>
      </c>
      <c r="F26" s="75">
        <v>8373.8530000000083</v>
      </c>
      <c r="G26" s="5">
        <f t="shared" si="0"/>
        <v>183597.147</v>
      </c>
      <c r="H26" s="6">
        <v>9557</v>
      </c>
      <c r="I26" s="7">
        <v>2054</v>
      </c>
      <c r="J26" s="5">
        <f t="shared" si="1"/>
        <v>19.210750967876947</v>
      </c>
      <c r="K26" s="38">
        <f t="shared" si="2"/>
        <v>0.88090340462956485</v>
      </c>
      <c r="L26" s="39">
        <f t="shared" si="3"/>
        <v>4.6528724440116846</v>
      </c>
      <c r="M26" s="26"/>
    </row>
    <row r="27" spans="1:13" x14ac:dyDescent="0.25">
      <c r="A27" t="s">
        <v>79</v>
      </c>
      <c r="B27" s="4">
        <v>23</v>
      </c>
      <c r="C27" t="str">
        <f>VLOOKUP(B27,'[1]Route types'!A:B,2,FALSE)</f>
        <v>Supporting Local</v>
      </c>
      <c r="D27" s="4" t="s">
        <v>14</v>
      </c>
      <c r="E27" s="5">
        <v>2911207.2369196694</v>
      </c>
      <c r="F27" s="75">
        <v>186054.88528960064</v>
      </c>
      <c r="G27" s="5">
        <f t="shared" si="0"/>
        <v>2725152.3516300688</v>
      </c>
      <c r="H27" s="6">
        <v>146019.60538562102</v>
      </c>
      <c r="I27" s="7">
        <v>13259.939999999993</v>
      </c>
      <c r="J27" s="5">
        <f t="shared" si="1"/>
        <v>18.662920944302336</v>
      </c>
      <c r="K27" s="38">
        <f t="shared" si="2"/>
        <v>1.0530634859213504</v>
      </c>
      <c r="L27" s="39">
        <f t="shared" si="3"/>
        <v>11.012086433695861</v>
      </c>
      <c r="M27" s="26"/>
    </row>
    <row r="28" spans="1:13" x14ac:dyDescent="0.25">
      <c r="A28" t="s">
        <v>79</v>
      </c>
      <c r="B28" s="4">
        <v>32</v>
      </c>
      <c r="C28" t="str">
        <f>VLOOKUP(B28,'[1]Route types'!A:B,2,FALSE)</f>
        <v>Supporting Local</v>
      </c>
      <c r="D28" s="4" t="s">
        <v>14</v>
      </c>
      <c r="E28" s="5">
        <v>2327648.1065159696</v>
      </c>
      <c r="F28" s="75">
        <v>227299.07174880963</v>
      </c>
      <c r="G28" s="5">
        <f t="shared" si="0"/>
        <v>2100349.0347671602</v>
      </c>
      <c r="H28" s="6">
        <v>188822.6491606287</v>
      </c>
      <c r="I28" s="7">
        <v>9428.1500000000469</v>
      </c>
      <c r="J28" s="5">
        <f t="shared" si="1"/>
        <v>11.123395652501536</v>
      </c>
      <c r="K28" s="38">
        <f t="shared" si="2"/>
        <v>0.6276424701183636</v>
      </c>
      <c r="L28" s="39">
        <f t="shared" si="3"/>
        <v>20.027539778283945</v>
      </c>
      <c r="M28" s="26"/>
    </row>
    <row r="29" spans="1:13" x14ac:dyDescent="0.25">
      <c r="A29" t="s">
        <v>79</v>
      </c>
      <c r="B29" s="4">
        <v>46</v>
      </c>
      <c r="C29" t="str">
        <f>VLOOKUP(B29,'[1]Route types'!A:B,2,FALSE)</f>
        <v>Supporting Local</v>
      </c>
      <c r="D29" s="4" t="s">
        <v>14</v>
      </c>
      <c r="E29" s="5">
        <v>2766926.5102417283</v>
      </c>
      <c r="F29" s="75">
        <v>151554.62498884732</v>
      </c>
      <c r="G29" s="5">
        <f t="shared" si="0"/>
        <v>2615371.8852528809</v>
      </c>
      <c r="H29" s="6">
        <v>106061.17525041553</v>
      </c>
      <c r="I29" s="7">
        <v>12589.240000000029</v>
      </c>
      <c r="J29" s="5">
        <f t="shared" si="1"/>
        <v>24.659088295767628</v>
      </c>
      <c r="K29" s="38">
        <f t="shared" si="2"/>
        <v>1.391399854175086</v>
      </c>
      <c r="L29" s="39">
        <f t="shared" si="3"/>
        <v>8.4247480586926056</v>
      </c>
      <c r="M29" s="26"/>
    </row>
    <row r="30" spans="1:13" x14ac:dyDescent="0.25">
      <c r="A30" t="s">
        <v>79</v>
      </c>
      <c r="B30" s="4">
        <v>65</v>
      </c>
      <c r="C30" t="str">
        <f>VLOOKUP(B30,'[1]Route types'!A:B,2,FALSE)</f>
        <v>Supporting Local</v>
      </c>
      <c r="D30" s="4" t="s">
        <v>14</v>
      </c>
      <c r="E30" s="5">
        <v>2493793.6653190367</v>
      </c>
      <c r="F30" s="75">
        <v>119484.42513101448</v>
      </c>
      <c r="G30" s="5">
        <f t="shared" si="0"/>
        <v>2374309.2401880221</v>
      </c>
      <c r="H30" s="6">
        <v>102505.93930851185</v>
      </c>
      <c r="I30" s="7">
        <v>10240.259999999967</v>
      </c>
      <c r="J30" s="5">
        <f t="shared" si="1"/>
        <v>23.162650439620577</v>
      </c>
      <c r="K30" s="38">
        <f t="shared" si="2"/>
        <v>1.3069626929203266</v>
      </c>
      <c r="L30" s="39">
        <f t="shared" si="3"/>
        <v>10.010091473118083</v>
      </c>
      <c r="M30" s="26"/>
    </row>
    <row r="31" spans="1:13" x14ac:dyDescent="0.25">
      <c r="A31" t="s">
        <v>79</v>
      </c>
      <c r="B31" s="4">
        <v>23</v>
      </c>
      <c r="C31" t="str">
        <f>VLOOKUP(B31,'[1]Route types'!A:B,2,FALSE)</f>
        <v>Supporting Local</v>
      </c>
      <c r="D31" s="4" t="s">
        <v>17</v>
      </c>
      <c r="E31" s="5">
        <v>567313.92506681802</v>
      </c>
      <c r="F31" s="75">
        <v>23584.646471786375</v>
      </c>
      <c r="G31" s="5">
        <f t="shared" si="0"/>
        <v>543729.27859503159</v>
      </c>
      <c r="H31" s="6">
        <v>22998.032081911155</v>
      </c>
      <c r="I31" s="7">
        <v>2554.0799999999981</v>
      </c>
      <c r="J31" s="5">
        <f t="shared" si="1"/>
        <v>23.642426302322441</v>
      </c>
      <c r="K31" s="38">
        <f t="shared" si="2"/>
        <v>1.1312555321078503</v>
      </c>
      <c r="L31" s="39">
        <f t="shared" si="3"/>
        <v>9.0044290241148168</v>
      </c>
      <c r="M31" s="26"/>
    </row>
    <row r="32" spans="1:13" x14ac:dyDescent="0.25">
      <c r="A32" t="s">
        <v>79</v>
      </c>
      <c r="B32" s="4">
        <v>32</v>
      </c>
      <c r="C32" t="str">
        <f>VLOOKUP(B32,'[1]Route types'!A:B,2,FALSE)</f>
        <v>Supporting Local</v>
      </c>
      <c r="D32" s="4" t="s">
        <v>17</v>
      </c>
      <c r="E32" s="5">
        <v>359392.64330212952</v>
      </c>
      <c r="F32" s="75">
        <v>19492.66793705861</v>
      </c>
      <c r="G32" s="5">
        <f t="shared" si="0"/>
        <v>339899.97536507092</v>
      </c>
      <c r="H32" s="6">
        <v>24777.243376410304</v>
      </c>
      <c r="I32" s="7">
        <v>1637.0999999999988</v>
      </c>
      <c r="J32" s="5">
        <f t="shared" si="1"/>
        <v>13.718232097146039</v>
      </c>
      <c r="K32" s="38">
        <f t="shared" si="2"/>
        <v>0.65639734907882485</v>
      </c>
      <c r="L32" s="39">
        <f t="shared" si="3"/>
        <v>15.134838052904724</v>
      </c>
      <c r="M32" s="26"/>
    </row>
    <row r="33" spans="1:13" x14ac:dyDescent="0.25">
      <c r="A33" t="s">
        <v>79</v>
      </c>
      <c r="B33" s="4">
        <v>46</v>
      </c>
      <c r="C33" t="str">
        <f>VLOOKUP(B33,'[1]Route types'!A:B,2,FALSE)</f>
        <v>Supporting Local</v>
      </c>
      <c r="D33" s="4" t="s">
        <v>17</v>
      </c>
      <c r="E33" s="5">
        <v>417519.94193879643</v>
      </c>
      <c r="F33" s="75">
        <v>13579.700824506523</v>
      </c>
      <c r="G33" s="5">
        <f t="shared" si="0"/>
        <v>403940.24111428991</v>
      </c>
      <c r="H33" s="6">
        <v>13033.386617017683</v>
      </c>
      <c r="I33" s="7">
        <v>1978.5600000000011</v>
      </c>
      <c r="J33" s="5">
        <f t="shared" si="1"/>
        <v>30.992730668087866</v>
      </c>
      <c r="K33" s="38">
        <f t="shared" si="2"/>
        <v>1.482956849482024</v>
      </c>
      <c r="L33" s="39">
        <f t="shared" si="3"/>
        <v>6.5873092638169553</v>
      </c>
      <c r="M33" s="26"/>
    </row>
    <row r="34" spans="1:13" x14ac:dyDescent="0.25">
      <c r="A34" t="s">
        <v>79</v>
      </c>
      <c r="B34" s="4">
        <v>65</v>
      </c>
      <c r="C34" t="str">
        <f>VLOOKUP(B34,'[1]Route types'!A:B,2,FALSE)</f>
        <v>Supporting Local</v>
      </c>
      <c r="D34" s="4" t="s">
        <v>17</v>
      </c>
      <c r="E34" s="5">
        <v>494440.42462792678</v>
      </c>
      <c r="F34" s="75">
        <v>15686.221338761839</v>
      </c>
      <c r="G34" s="5">
        <f t="shared" si="0"/>
        <v>478754.20328916493</v>
      </c>
      <c r="H34" s="6">
        <v>15987.408473735382</v>
      </c>
      <c r="I34" s="7">
        <v>2036.7000000000016</v>
      </c>
      <c r="J34" s="5">
        <f t="shared" si="1"/>
        <v>29.945704088043875</v>
      </c>
      <c r="K34" s="38">
        <f t="shared" si="2"/>
        <v>1.4328581584342963</v>
      </c>
      <c r="L34" s="39">
        <f t="shared" si="3"/>
        <v>7.849662922244498</v>
      </c>
      <c r="M34" s="26"/>
    </row>
    <row r="35" spans="1:13" x14ac:dyDescent="0.25">
      <c r="A35" t="s">
        <v>79</v>
      </c>
      <c r="B35" s="4">
        <v>23</v>
      </c>
      <c r="C35" t="str">
        <f>VLOOKUP(B35,'[1]Route types'!A:B,2,FALSE)</f>
        <v>Supporting Local</v>
      </c>
      <c r="D35" s="4" t="s">
        <v>18</v>
      </c>
      <c r="E35" s="5">
        <v>499953.68107800902</v>
      </c>
      <c r="F35" s="75">
        <v>21140.061841855299</v>
      </c>
      <c r="G35" s="5">
        <f t="shared" si="0"/>
        <v>478813.61923615373</v>
      </c>
      <c r="H35" s="6">
        <v>20768.441331371618</v>
      </c>
      <c r="I35" s="7">
        <v>2176.2600000000007</v>
      </c>
      <c r="J35" s="5">
        <f t="shared" si="1"/>
        <v>23.054865389098087</v>
      </c>
      <c r="K35" s="38">
        <f t="shared" si="2"/>
        <v>1.0571741546435369</v>
      </c>
      <c r="L35" s="39">
        <f t="shared" si="3"/>
        <v>9.5431801950923187</v>
      </c>
      <c r="M35" s="26"/>
    </row>
    <row r="36" spans="1:13" x14ac:dyDescent="0.25">
      <c r="A36" t="s">
        <v>79</v>
      </c>
      <c r="B36" s="4">
        <v>32</v>
      </c>
      <c r="C36" t="str">
        <f>VLOOKUP(B36,'[1]Route types'!A:B,2,FALSE)</f>
        <v>Supporting Local</v>
      </c>
      <c r="D36" s="4" t="s">
        <v>18</v>
      </c>
      <c r="E36" s="5">
        <v>379797.74709437607</v>
      </c>
      <c r="F36" s="75">
        <v>16035.315224733002</v>
      </c>
      <c r="G36" s="5">
        <f t="shared" si="0"/>
        <v>363762.43186964304</v>
      </c>
      <c r="H36" s="6">
        <v>21679.822400434467</v>
      </c>
      <c r="I36" s="7">
        <v>1622.7900000000013</v>
      </c>
      <c r="J36" s="5">
        <f t="shared" si="1"/>
        <v>16.778847407087301</v>
      </c>
      <c r="K36" s="38">
        <f t="shared" si="2"/>
        <v>0.76938917335289392</v>
      </c>
      <c r="L36" s="39">
        <f t="shared" si="3"/>
        <v>13.359598223081512</v>
      </c>
      <c r="M36" s="26"/>
    </row>
    <row r="37" spans="1:13" x14ac:dyDescent="0.25">
      <c r="A37" t="s">
        <v>79</v>
      </c>
      <c r="B37" s="4">
        <v>46</v>
      </c>
      <c r="C37" t="str">
        <f>VLOOKUP(B37,'[1]Route types'!A:B,2,FALSE)</f>
        <v>Supporting Local</v>
      </c>
      <c r="D37" s="4" t="s">
        <v>18</v>
      </c>
      <c r="E37" s="5">
        <v>372517.10656412481</v>
      </c>
      <c r="F37" s="75">
        <v>10152.539210151661</v>
      </c>
      <c r="G37" s="5">
        <f t="shared" si="0"/>
        <v>362364.56735397317</v>
      </c>
      <c r="H37" s="6">
        <v>9421.8532431089516</v>
      </c>
      <c r="I37" s="7">
        <v>1617.7199999999984</v>
      </c>
      <c r="J37" s="5">
        <f t="shared" si="1"/>
        <v>38.46000972462641</v>
      </c>
      <c r="K37" s="38">
        <f t="shared" si="2"/>
        <v>1.7635725727308065</v>
      </c>
      <c r="L37" s="39">
        <f t="shared" si="3"/>
        <v>5.8241557519898128</v>
      </c>
      <c r="M37" s="26"/>
    </row>
    <row r="38" spans="1:13" ht="15.75" thickBot="1" x14ac:dyDescent="0.3">
      <c r="A38" s="34" t="s">
        <v>79</v>
      </c>
      <c r="B38" s="29">
        <v>65</v>
      </c>
      <c r="C38" s="34" t="str">
        <f>VLOOKUP(B38,'[1]Route types'!A:B,2,FALSE)</f>
        <v>Supporting Local</v>
      </c>
      <c r="D38" s="29" t="s">
        <v>18</v>
      </c>
      <c r="E38" s="30">
        <v>566590.60676734161</v>
      </c>
      <c r="F38" s="81">
        <v>12964.650360196216</v>
      </c>
      <c r="G38" s="30">
        <f t="shared" si="0"/>
        <v>553625.95640714536</v>
      </c>
      <c r="H38" s="31">
        <v>15353.265701904937</v>
      </c>
      <c r="I38" s="37">
        <v>2162.5800000000022</v>
      </c>
      <c r="J38" s="5">
        <f t="shared" si="1"/>
        <v>36.059165988279283</v>
      </c>
      <c r="K38" s="40">
        <f t="shared" ref="K38" si="4">+IF(D38="Weekday",J38/$G$41,IF(D38="Saturday",J38/$G$42,IF(D38="Sunday",J38/$G$43,"NA")))</f>
        <v>1.6534825806806166</v>
      </c>
      <c r="L38" s="41">
        <f t="shared" si="3"/>
        <v>7.0995134061652845</v>
      </c>
      <c r="M38" s="35"/>
    </row>
    <row r="39" spans="1:13" ht="15.75" thickBot="1" x14ac:dyDescent="0.3"/>
    <row r="40" spans="1:13" ht="36" x14ac:dyDescent="0.25">
      <c r="F40" s="70" t="s">
        <v>20</v>
      </c>
      <c r="G40" s="58" t="s">
        <v>21</v>
      </c>
      <c r="H40" s="58" t="s">
        <v>22</v>
      </c>
      <c r="I40" s="58" t="s">
        <v>23</v>
      </c>
      <c r="J40" s="59" t="s">
        <v>24</v>
      </c>
    </row>
    <row r="41" spans="1:13" x14ac:dyDescent="0.25">
      <c r="F41" s="24" t="s">
        <v>14</v>
      </c>
      <c r="G41" s="11">
        <f>AVERAGEIF($D$5:$D$37,"Weekday",J5:J37)</f>
        <v>17.722503148016475</v>
      </c>
      <c r="H41" s="50">
        <f>G41*1.2</f>
        <v>21.26700377761977</v>
      </c>
      <c r="I41" s="51">
        <f>G41*1.35</f>
        <v>23.925379249822242</v>
      </c>
      <c r="J41" s="52">
        <f>G41*1.6</f>
        <v>28.35600503682636</v>
      </c>
    </row>
    <row r="42" spans="1:13" x14ac:dyDescent="0.25">
      <c r="F42" s="24" t="s">
        <v>17</v>
      </c>
      <c r="G42" s="11">
        <f>AVERAGEIF($D$5:$D$37,"Saturday",J5:J37)</f>
        <v>20.899280163757421</v>
      </c>
      <c r="H42" s="50">
        <f>G42*1.2</f>
        <v>25.079136196508905</v>
      </c>
      <c r="I42" s="51">
        <f>G42*1.35</f>
        <v>28.214028221072521</v>
      </c>
      <c r="J42" s="52">
        <f>G42*1.6</f>
        <v>33.438848262011874</v>
      </c>
    </row>
    <row r="43" spans="1:13" ht="15.75" thickBot="1" x14ac:dyDescent="0.3">
      <c r="F43" s="28" t="s">
        <v>18</v>
      </c>
      <c r="G43" s="47">
        <f>AVERAGEIF($D$5:$D$37,"Sunday",J5:J37)</f>
        <v>21.808010806764223</v>
      </c>
      <c r="H43" s="53">
        <f>G43*1.2</f>
        <v>26.169612968117068</v>
      </c>
      <c r="I43" s="54">
        <f>G43*1.35</f>
        <v>29.440814589131701</v>
      </c>
      <c r="J43" s="55">
        <f>G43*1.6</f>
        <v>34.892817290822755</v>
      </c>
    </row>
    <row r="45" spans="1:13" hidden="1" x14ac:dyDescent="0.25">
      <c r="D45" t="s">
        <v>14</v>
      </c>
      <c r="E45">
        <f>COUNTIF($D$5:$D$38,D45)</f>
        <v>12</v>
      </c>
    </row>
    <row r="46" spans="1:13" hidden="1" x14ac:dyDescent="0.25">
      <c r="D46" t="s">
        <v>17</v>
      </c>
      <c r="E46">
        <f t="shared" ref="E46:E47" si="5">COUNTIF($D$5:$D$38,D46)</f>
        <v>11</v>
      </c>
    </row>
    <row r="47" spans="1:13" hidden="1" x14ac:dyDescent="0.25">
      <c r="D47" t="s">
        <v>18</v>
      </c>
      <c r="E47">
        <f t="shared" si="5"/>
        <v>11</v>
      </c>
    </row>
  </sheetData>
  <mergeCells count="1">
    <mergeCell ref="A2:M2"/>
  </mergeCells>
  <conditionalFormatting sqref="K1">
    <cfRule type="cellIs" dxfId="21" priority="5" operator="greaterThan">
      <formula>1.6</formula>
    </cfRule>
  </conditionalFormatting>
  <conditionalFormatting sqref="K5:K38">
    <cfRule type="cellIs" dxfId="20" priority="2" operator="greaterThan">
      <formula>1.6</formula>
    </cfRule>
    <cfRule type="cellIs" dxfId="19" priority="3" operator="between">
      <formula>1.35</formula>
      <formula>1.6</formula>
    </cfRule>
    <cfRule type="cellIs" dxfId="18" priority="4" operator="between">
      <formula>1.2</formula>
      <formula>1.35</formula>
    </cfRule>
  </conditionalFormatting>
  <conditionalFormatting sqref="L5:L38">
    <cfRule type="cellIs" dxfId="17" priority="1" operator="lessThan">
      <formula>15</formula>
    </cfRule>
  </conditionalFormatting>
  <pageMargins left="0.7" right="0.7" top="0.75" bottom="0.75" header="0.3" footer="0.3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7A22-2B54-48D2-B3B3-F7FD71CEB8C4}">
  <sheetPr>
    <pageSetUpPr fitToPage="1"/>
  </sheetPr>
  <dimension ref="A1:Q106"/>
  <sheetViews>
    <sheetView workbookViewId="0">
      <selection activeCell="E1" sqref="E1:G1048576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2.7109375" bestFit="1" customWidth="1"/>
    <col min="6" max="6" width="11.85546875" bestFit="1" customWidth="1"/>
    <col min="7" max="8" width="11.7109375" customWidth="1"/>
    <col min="9" max="9" width="11.7109375" style="6" customWidth="1"/>
    <col min="10" max="10" width="11.7109375" customWidth="1"/>
    <col min="11" max="11" width="14.140625" customWidth="1"/>
    <col min="12" max="12" width="11.7109375" customWidth="1"/>
    <col min="13" max="13" width="35.7109375" customWidth="1"/>
    <col min="14" max="14" width="14.7109375" bestFit="1" customWidth="1"/>
    <col min="15" max="15" width="13.7109375" bestFit="1" customWidth="1"/>
    <col min="16" max="16" width="13.85546875" bestFit="1" customWidth="1"/>
  </cols>
  <sheetData>
    <row r="1" spans="1:17" ht="18.75" x14ac:dyDescent="0.3">
      <c r="A1" s="15" t="s">
        <v>30</v>
      </c>
    </row>
    <row r="2" spans="1:17" ht="46.5" x14ac:dyDescent="0.7">
      <c r="A2" s="148" t="s">
        <v>61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7" ht="15" customHeight="1" thickBot="1" x14ac:dyDescent="0.75">
      <c r="A3" s="56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ht="48.75" thickBot="1" x14ac:dyDescent="0.3">
      <c r="A4" s="82" t="s">
        <v>2</v>
      </c>
      <c r="B4" s="83" t="s">
        <v>3</v>
      </c>
      <c r="C4" s="84" t="s">
        <v>4</v>
      </c>
      <c r="D4" s="84" t="s">
        <v>5</v>
      </c>
      <c r="E4" s="85" t="s">
        <v>6</v>
      </c>
      <c r="F4" s="86" t="s">
        <v>7</v>
      </c>
      <c r="G4" s="85" t="s">
        <v>8</v>
      </c>
      <c r="H4" s="87" t="s">
        <v>9</v>
      </c>
      <c r="I4" s="87" t="s">
        <v>10</v>
      </c>
      <c r="J4" s="88" t="s">
        <v>11</v>
      </c>
      <c r="K4" s="89" t="s">
        <v>12</v>
      </c>
      <c r="L4" s="89" t="s">
        <v>13</v>
      </c>
      <c r="M4" s="90" t="s">
        <v>90</v>
      </c>
    </row>
    <row r="5" spans="1:17" x14ac:dyDescent="0.25">
      <c r="A5" s="91" t="s">
        <v>16</v>
      </c>
      <c r="B5" s="92">
        <v>420</v>
      </c>
      <c r="C5" s="93" t="s">
        <v>31</v>
      </c>
      <c r="D5" s="92" t="s">
        <v>14</v>
      </c>
      <c r="E5" s="94">
        <v>515925.41513910878</v>
      </c>
      <c r="F5" s="94">
        <v>4266.6565743198271</v>
      </c>
      <c r="G5" s="94">
        <f>E5-F5</f>
        <v>511658.75856478896</v>
      </c>
      <c r="H5" s="93">
        <v>4637</v>
      </c>
      <c r="I5" s="93">
        <v>3166.2879999999996</v>
      </c>
      <c r="J5" s="95">
        <f>G5/H5</f>
        <v>110.34262638878347</v>
      </c>
      <c r="K5" s="96">
        <f t="shared" ref="K5:K36" si="0">+IF(D5="Weekday",J5/$G$98,IF(D5="Saturday",J5/$G$99,IF(D5="Sunday",J5/$G$100, "NA")))</f>
        <v>2.793491607355715</v>
      </c>
      <c r="L5" s="97">
        <f>H5/I5</f>
        <v>1.4644909117553426</v>
      </c>
      <c r="M5" s="98"/>
    </row>
    <row r="6" spans="1:17" x14ac:dyDescent="0.25">
      <c r="A6" s="24" t="s">
        <v>15</v>
      </c>
      <c r="B6" s="4">
        <v>219</v>
      </c>
      <c r="C6" t="s">
        <v>31</v>
      </c>
      <c r="D6" s="4" t="s">
        <v>14</v>
      </c>
      <c r="E6" s="5">
        <v>1197351</v>
      </c>
      <c r="F6" s="75">
        <v>66261.66</v>
      </c>
      <c r="G6" s="78">
        <f t="shared" ref="G6:G68" si="1">E6-F6</f>
        <v>1131089.3400000001</v>
      </c>
      <c r="H6" s="6">
        <v>58386</v>
      </c>
      <c r="I6" s="7">
        <v>12381</v>
      </c>
      <c r="J6" s="5">
        <f t="shared" ref="J6:J68" si="2">G6/H6</f>
        <v>19.372612270064742</v>
      </c>
      <c r="K6" s="42">
        <f t="shared" si="0"/>
        <v>0.49044717857543507</v>
      </c>
      <c r="L6" s="8">
        <f t="shared" ref="L6:L68" si="3">H6/I6</f>
        <v>4.7157741700993459</v>
      </c>
      <c r="M6" s="26"/>
    </row>
    <row r="7" spans="1:17" x14ac:dyDescent="0.25">
      <c r="A7" s="24" t="s">
        <v>15</v>
      </c>
      <c r="B7" s="4">
        <v>223</v>
      </c>
      <c r="C7" t="s">
        <v>31</v>
      </c>
      <c r="D7" s="4" t="s">
        <v>14</v>
      </c>
      <c r="E7" s="5">
        <v>78304</v>
      </c>
      <c r="F7" s="75">
        <v>3611.454999999999</v>
      </c>
      <c r="G7" s="78">
        <f t="shared" si="1"/>
        <v>74692.544999999998</v>
      </c>
      <c r="H7" s="6">
        <v>3412</v>
      </c>
      <c r="I7" s="7">
        <v>776</v>
      </c>
      <c r="J7" s="5">
        <f t="shared" si="2"/>
        <v>21.891132766705745</v>
      </c>
      <c r="K7" s="42">
        <f t="shared" si="0"/>
        <v>0.554207359935729</v>
      </c>
      <c r="L7" s="8">
        <f t="shared" si="3"/>
        <v>4.3969072164948457</v>
      </c>
      <c r="M7" s="26"/>
    </row>
    <row r="8" spans="1:17" x14ac:dyDescent="0.25">
      <c r="A8" s="24" t="s">
        <v>15</v>
      </c>
      <c r="B8" s="4">
        <v>225</v>
      </c>
      <c r="C8" t="s">
        <v>31</v>
      </c>
      <c r="D8" s="4" t="s">
        <v>14</v>
      </c>
      <c r="E8" s="5">
        <v>188108</v>
      </c>
      <c r="F8" s="75">
        <v>7474.3229999999985</v>
      </c>
      <c r="G8" s="78">
        <f t="shared" si="1"/>
        <v>180633.677</v>
      </c>
      <c r="H8" s="6">
        <v>8105</v>
      </c>
      <c r="I8" s="7">
        <v>1906</v>
      </c>
      <c r="J8" s="5">
        <f t="shared" si="2"/>
        <v>22.286696730413325</v>
      </c>
      <c r="K8" s="42">
        <f t="shared" si="0"/>
        <v>0.5642216640079929</v>
      </c>
      <c r="L8" s="8">
        <f t="shared" si="3"/>
        <v>4.2523609653725076</v>
      </c>
      <c r="M8" s="26"/>
    </row>
    <row r="9" spans="1:17" x14ac:dyDescent="0.25">
      <c r="A9" s="24" t="s">
        <v>15</v>
      </c>
      <c r="B9" s="4">
        <v>227</v>
      </c>
      <c r="C9" t="s">
        <v>31</v>
      </c>
      <c r="D9" s="4" t="s">
        <v>14</v>
      </c>
      <c r="E9" s="5">
        <v>213341</v>
      </c>
      <c r="F9" s="75">
        <v>7009.9809999999961</v>
      </c>
      <c r="G9" s="78">
        <f t="shared" si="1"/>
        <v>206331.019</v>
      </c>
      <c r="H9" s="6">
        <v>6523</v>
      </c>
      <c r="I9" s="7">
        <v>1778</v>
      </c>
      <c r="J9" s="5">
        <f t="shared" si="2"/>
        <v>31.631307527211405</v>
      </c>
      <c r="K9" s="42">
        <f t="shared" si="0"/>
        <v>0.80079471550384318</v>
      </c>
      <c r="L9" s="8">
        <f t="shared" si="3"/>
        <v>3.668728908886389</v>
      </c>
      <c r="M9" s="26"/>
    </row>
    <row r="10" spans="1:17" x14ac:dyDescent="0.25">
      <c r="A10" s="24" t="s">
        <v>15</v>
      </c>
      <c r="B10" s="4">
        <v>323</v>
      </c>
      <c r="C10" t="s">
        <v>31</v>
      </c>
      <c r="D10" s="4" t="s">
        <v>14</v>
      </c>
      <c r="E10" s="5">
        <v>386342</v>
      </c>
      <c r="F10" s="75">
        <v>20554.792000000034</v>
      </c>
      <c r="G10" s="78">
        <f t="shared" si="1"/>
        <v>365787.20799999998</v>
      </c>
      <c r="H10" s="6">
        <v>24884</v>
      </c>
      <c r="I10" s="7">
        <v>3539</v>
      </c>
      <c r="J10" s="5">
        <f t="shared" si="2"/>
        <v>14.699694904356212</v>
      </c>
      <c r="K10" s="42">
        <f t="shared" si="0"/>
        <v>0.37214515994321867</v>
      </c>
      <c r="L10" s="8">
        <f t="shared" si="3"/>
        <v>7.0313647923142133</v>
      </c>
      <c r="M10" s="27"/>
      <c r="N10" s="10"/>
      <c r="O10" s="10"/>
      <c r="P10" s="10"/>
      <c r="Q10" s="10"/>
    </row>
    <row r="11" spans="1:17" x14ac:dyDescent="0.25">
      <c r="A11" s="24" t="s">
        <v>15</v>
      </c>
      <c r="B11" s="4">
        <v>534</v>
      </c>
      <c r="C11" t="s">
        <v>31</v>
      </c>
      <c r="D11" s="4" t="s">
        <v>14</v>
      </c>
      <c r="E11" s="5">
        <v>24216</v>
      </c>
      <c r="F11" s="75">
        <v>1421.5500000000011</v>
      </c>
      <c r="G11" s="78">
        <f t="shared" si="1"/>
        <v>22794.449999999997</v>
      </c>
      <c r="H11" s="6">
        <v>919</v>
      </c>
      <c r="I11" s="7">
        <v>251</v>
      </c>
      <c r="J11" s="5">
        <f t="shared" si="2"/>
        <v>24.803536452665938</v>
      </c>
      <c r="K11" s="42">
        <f t="shared" si="0"/>
        <v>0.62793929400530513</v>
      </c>
      <c r="L11" s="8">
        <f t="shared" si="3"/>
        <v>3.6613545816733066</v>
      </c>
      <c r="M11" s="26"/>
      <c r="N11" s="11"/>
      <c r="O11" s="12"/>
      <c r="P11" s="11"/>
      <c r="Q11" s="13"/>
    </row>
    <row r="12" spans="1:17" x14ac:dyDescent="0.25">
      <c r="A12" s="24" t="s">
        <v>15</v>
      </c>
      <c r="B12" s="4">
        <v>537</v>
      </c>
      <c r="C12" t="s">
        <v>31</v>
      </c>
      <c r="D12" s="4" t="s">
        <v>14</v>
      </c>
      <c r="E12" s="5">
        <v>72136</v>
      </c>
      <c r="F12" s="75">
        <v>2900.3470000000007</v>
      </c>
      <c r="G12" s="78">
        <f t="shared" si="1"/>
        <v>69235.653000000006</v>
      </c>
      <c r="H12" s="6">
        <v>2074</v>
      </c>
      <c r="I12" s="7">
        <v>726</v>
      </c>
      <c r="J12" s="5">
        <f t="shared" si="2"/>
        <v>33.382667791706851</v>
      </c>
      <c r="K12" s="42">
        <f t="shared" si="0"/>
        <v>0.84513306742131789</v>
      </c>
      <c r="L12" s="8">
        <f t="shared" si="3"/>
        <v>2.8567493112947657</v>
      </c>
      <c r="M12" s="26"/>
      <c r="N12" s="11"/>
      <c r="O12" s="12"/>
      <c r="P12" s="11"/>
      <c r="Q12" s="13"/>
    </row>
    <row r="13" spans="1:17" x14ac:dyDescent="0.25">
      <c r="A13" s="24" t="s">
        <v>15</v>
      </c>
      <c r="B13" s="4">
        <v>538</v>
      </c>
      <c r="C13" t="s">
        <v>31</v>
      </c>
      <c r="D13" s="4" t="s">
        <v>14</v>
      </c>
      <c r="E13" s="5">
        <v>691433</v>
      </c>
      <c r="F13" s="75">
        <v>70252.715999999957</v>
      </c>
      <c r="G13" s="78">
        <f t="shared" si="1"/>
        <v>621180.28399999999</v>
      </c>
      <c r="H13" s="6">
        <v>59791</v>
      </c>
      <c r="I13" s="7">
        <v>7627</v>
      </c>
      <c r="J13" s="5">
        <f t="shared" si="2"/>
        <v>10.389193758257932</v>
      </c>
      <c r="K13" s="42">
        <f t="shared" si="0"/>
        <v>0.26301825976688969</v>
      </c>
      <c r="L13" s="8">
        <f t="shared" si="3"/>
        <v>7.8393863904549628</v>
      </c>
      <c r="M13" s="26"/>
      <c r="N13" s="11"/>
      <c r="O13" s="12"/>
      <c r="P13" s="11"/>
    </row>
    <row r="14" spans="1:17" x14ac:dyDescent="0.25">
      <c r="A14" s="24" t="s">
        <v>15</v>
      </c>
      <c r="B14" s="4">
        <v>539</v>
      </c>
      <c r="C14" t="s">
        <v>31</v>
      </c>
      <c r="D14" s="4" t="s">
        <v>14</v>
      </c>
      <c r="E14" s="5">
        <v>903450</v>
      </c>
      <c r="F14" s="75">
        <v>105659.04499999965</v>
      </c>
      <c r="G14" s="78">
        <f t="shared" si="1"/>
        <v>797790.95500000031</v>
      </c>
      <c r="H14" s="6">
        <v>87086</v>
      </c>
      <c r="I14" s="7">
        <v>10375</v>
      </c>
      <c r="J14" s="5">
        <f t="shared" si="2"/>
        <v>9.1609553200284815</v>
      </c>
      <c r="K14" s="42">
        <f t="shared" si="0"/>
        <v>0.23192353344655958</v>
      </c>
      <c r="L14" s="8">
        <f t="shared" si="3"/>
        <v>8.3938313253012051</v>
      </c>
      <c r="M14" s="26"/>
      <c r="N14" s="11"/>
      <c r="O14" s="12"/>
      <c r="P14" s="11"/>
    </row>
    <row r="15" spans="1:17" x14ac:dyDescent="0.25">
      <c r="A15" s="24" t="s">
        <v>15</v>
      </c>
      <c r="B15" s="4">
        <v>540</v>
      </c>
      <c r="C15" t="s">
        <v>31</v>
      </c>
      <c r="D15" s="4" t="s">
        <v>14</v>
      </c>
      <c r="E15" s="5">
        <v>891821.55732679344</v>
      </c>
      <c r="F15" s="75">
        <v>94687.019999999757</v>
      </c>
      <c r="G15" s="78">
        <f t="shared" si="1"/>
        <v>797134.53732679365</v>
      </c>
      <c r="H15" s="6">
        <v>82676</v>
      </c>
      <c r="I15" s="7">
        <v>9064</v>
      </c>
      <c r="J15" s="5">
        <f t="shared" si="2"/>
        <v>9.6416679245100596</v>
      </c>
      <c r="K15" s="42">
        <f t="shared" si="0"/>
        <v>0.24409350501709218</v>
      </c>
      <c r="L15" s="8">
        <f t="shared" si="3"/>
        <v>9.1213592233009706</v>
      </c>
      <c r="M15" s="26"/>
    </row>
    <row r="16" spans="1:17" x14ac:dyDescent="0.25">
      <c r="A16" s="24" t="s">
        <v>15</v>
      </c>
      <c r="B16" s="4">
        <v>542</v>
      </c>
      <c r="C16" t="s">
        <v>31</v>
      </c>
      <c r="D16" s="4" t="s">
        <v>14</v>
      </c>
      <c r="E16" s="5">
        <v>33646.441606909604</v>
      </c>
      <c r="F16" s="75">
        <v>1428.2800000000016</v>
      </c>
      <c r="G16" s="78">
        <f t="shared" si="1"/>
        <v>32218.161606909602</v>
      </c>
      <c r="H16" s="6">
        <v>961</v>
      </c>
      <c r="I16" s="7">
        <v>346</v>
      </c>
      <c r="J16" s="5">
        <f t="shared" si="2"/>
        <v>33.525662442153589</v>
      </c>
      <c r="K16" s="42">
        <f t="shared" si="0"/>
        <v>0.84875319473741306</v>
      </c>
      <c r="L16" s="8">
        <f t="shared" si="3"/>
        <v>2.7774566473988438</v>
      </c>
      <c r="M16" s="26"/>
    </row>
    <row r="17" spans="1:13" x14ac:dyDescent="0.25">
      <c r="A17" s="24" t="s">
        <v>15</v>
      </c>
      <c r="B17" s="4">
        <v>546</v>
      </c>
      <c r="C17" t="s">
        <v>31</v>
      </c>
      <c r="D17" s="4" t="s">
        <v>14</v>
      </c>
      <c r="E17" s="5">
        <v>45652</v>
      </c>
      <c r="F17" s="75">
        <v>3065.7620000000047</v>
      </c>
      <c r="G17" s="78">
        <f t="shared" si="1"/>
        <v>42586.237999999998</v>
      </c>
      <c r="H17" s="6">
        <v>1828</v>
      </c>
      <c r="I17" s="7">
        <v>425</v>
      </c>
      <c r="J17" s="5">
        <f t="shared" si="2"/>
        <v>23.296629102844637</v>
      </c>
      <c r="K17" s="42">
        <f t="shared" si="0"/>
        <v>0.58978963985481847</v>
      </c>
      <c r="L17" s="8">
        <f t="shared" si="3"/>
        <v>4.3011764705882349</v>
      </c>
      <c r="M17" s="26"/>
    </row>
    <row r="18" spans="1:13" x14ac:dyDescent="0.25">
      <c r="A18" s="24" t="s">
        <v>15</v>
      </c>
      <c r="B18" s="4">
        <v>547</v>
      </c>
      <c r="C18" t="s">
        <v>31</v>
      </c>
      <c r="D18" s="4" t="s">
        <v>14</v>
      </c>
      <c r="E18" s="5">
        <v>14245</v>
      </c>
      <c r="F18" s="75">
        <v>184.03399999999999</v>
      </c>
      <c r="G18" s="78">
        <f t="shared" si="1"/>
        <v>14060.966</v>
      </c>
      <c r="H18" s="6">
        <v>169</v>
      </c>
      <c r="I18" s="7">
        <v>139</v>
      </c>
      <c r="J18" s="5">
        <f t="shared" si="2"/>
        <v>83.200982248520717</v>
      </c>
      <c r="K18" s="42">
        <f t="shared" si="0"/>
        <v>2.1063595569682803</v>
      </c>
      <c r="L18" s="8">
        <f t="shared" si="3"/>
        <v>1.2158273381294964</v>
      </c>
      <c r="M18" s="26"/>
    </row>
    <row r="19" spans="1:13" x14ac:dyDescent="0.25">
      <c r="A19" s="24" t="s">
        <v>15</v>
      </c>
      <c r="B19" s="4">
        <v>604</v>
      </c>
      <c r="C19" t="s">
        <v>31</v>
      </c>
      <c r="D19" s="4" t="s">
        <v>14</v>
      </c>
      <c r="E19" s="5">
        <v>169174</v>
      </c>
      <c r="F19" s="75">
        <v>5500.1259999999984</v>
      </c>
      <c r="G19" s="78">
        <f t="shared" si="1"/>
        <v>163673.87400000001</v>
      </c>
      <c r="H19" s="6">
        <v>4884</v>
      </c>
      <c r="I19" s="7">
        <v>1610</v>
      </c>
      <c r="J19" s="5">
        <f t="shared" si="2"/>
        <v>33.512259213759215</v>
      </c>
      <c r="K19" s="42">
        <f t="shared" si="0"/>
        <v>0.84841387160131854</v>
      </c>
      <c r="L19" s="8">
        <f t="shared" si="3"/>
        <v>3.0335403726708075</v>
      </c>
      <c r="M19" s="26"/>
    </row>
    <row r="20" spans="1:13" x14ac:dyDescent="0.25">
      <c r="A20" s="24" t="s">
        <v>15</v>
      </c>
      <c r="B20" s="4">
        <v>615</v>
      </c>
      <c r="C20" t="s">
        <v>31</v>
      </c>
      <c r="D20" s="4" t="s">
        <v>14</v>
      </c>
      <c r="E20" s="5">
        <v>417813</v>
      </c>
      <c r="F20" s="75">
        <v>23374.340000000026</v>
      </c>
      <c r="G20" s="78">
        <f t="shared" si="1"/>
        <v>394438.66</v>
      </c>
      <c r="H20" s="6">
        <v>18552</v>
      </c>
      <c r="I20" s="7">
        <v>5453</v>
      </c>
      <c r="J20" s="5">
        <f t="shared" si="2"/>
        <v>21.261247304872789</v>
      </c>
      <c r="K20" s="42">
        <f t="shared" si="0"/>
        <v>0.53826085033366466</v>
      </c>
      <c r="L20" s="8">
        <f t="shared" si="3"/>
        <v>3.4021639464514948</v>
      </c>
      <c r="M20" s="26"/>
    </row>
    <row r="21" spans="1:13" x14ac:dyDescent="0.25">
      <c r="A21" s="24" t="s">
        <v>15</v>
      </c>
      <c r="B21" s="4">
        <v>705</v>
      </c>
      <c r="C21" t="s">
        <v>31</v>
      </c>
      <c r="D21" s="4" t="s">
        <v>14</v>
      </c>
      <c r="E21" s="5">
        <v>594987.5089702236</v>
      </c>
      <c r="F21" s="75">
        <v>25379.752000000037</v>
      </c>
      <c r="G21" s="78">
        <f t="shared" si="1"/>
        <v>569607.75697022351</v>
      </c>
      <c r="H21" s="6">
        <v>24079</v>
      </c>
      <c r="I21" s="7">
        <v>5685</v>
      </c>
      <c r="J21" s="5">
        <f t="shared" si="2"/>
        <v>23.655789566436461</v>
      </c>
      <c r="K21" s="42">
        <f t="shared" si="0"/>
        <v>0.5988823338895124</v>
      </c>
      <c r="L21" s="8">
        <f t="shared" si="3"/>
        <v>4.2355321020228676</v>
      </c>
      <c r="M21" s="26"/>
    </row>
    <row r="22" spans="1:13" x14ac:dyDescent="0.25">
      <c r="A22" s="24" t="s">
        <v>15</v>
      </c>
      <c r="B22" s="4">
        <v>716</v>
      </c>
      <c r="C22" t="s">
        <v>31</v>
      </c>
      <c r="D22" s="4" t="s">
        <v>14</v>
      </c>
      <c r="E22" s="5">
        <v>264744</v>
      </c>
      <c r="F22" s="75">
        <v>17939.127000000004</v>
      </c>
      <c r="G22" s="78">
        <f t="shared" si="1"/>
        <v>246804.87299999999</v>
      </c>
      <c r="H22" s="6">
        <v>15633</v>
      </c>
      <c r="I22" s="7">
        <v>3112</v>
      </c>
      <c r="J22" s="5">
        <f t="shared" si="2"/>
        <v>15.787428708501247</v>
      </c>
      <c r="K22" s="42">
        <f t="shared" si="0"/>
        <v>0.39968279750324998</v>
      </c>
      <c r="L22" s="8">
        <f t="shared" si="3"/>
        <v>5.0234575835475574</v>
      </c>
      <c r="M22" s="26"/>
    </row>
    <row r="23" spans="1:13" x14ac:dyDescent="0.25">
      <c r="A23" s="24" t="s">
        <v>15</v>
      </c>
      <c r="B23" s="4">
        <v>717</v>
      </c>
      <c r="C23" t="s">
        <v>31</v>
      </c>
      <c r="D23" s="4" t="s">
        <v>14</v>
      </c>
      <c r="E23" s="5">
        <v>274726</v>
      </c>
      <c r="F23" s="75">
        <v>24279.987000000023</v>
      </c>
      <c r="G23" s="78">
        <f t="shared" si="1"/>
        <v>250446.01299999998</v>
      </c>
      <c r="H23" s="6">
        <v>27664</v>
      </c>
      <c r="I23" s="7">
        <v>3480</v>
      </c>
      <c r="J23" s="5">
        <f t="shared" si="2"/>
        <v>9.0531381217466738</v>
      </c>
      <c r="K23" s="42">
        <f t="shared" si="0"/>
        <v>0.22919397689723811</v>
      </c>
      <c r="L23" s="8">
        <f t="shared" si="3"/>
        <v>7.9494252873563216</v>
      </c>
      <c r="M23" s="26"/>
    </row>
    <row r="24" spans="1:13" x14ac:dyDescent="0.25">
      <c r="A24" s="24" t="s">
        <v>15</v>
      </c>
      <c r="B24" s="4">
        <v>801</v>
      </c>
      <c r="C24" t="s">
        <v>31</v>
      </c>
      <c r="D24" s="4" t="s">
        <v>14</v>
      </c>
      <c r="E24" s="5">
        <v>392273</v>
      </c>
      <c r="F24" s="75">
        <v>35858.759000000049</v>
      </c>
      <c r="G24" s="78">
        <f t="shared" si="1"/>
        <v>356414.24099999992</v>
      </c>
      <c r="H24" s="6">
        <v>35490</v>
      </c>
      <c r="I24" s="7">
        <v>4315</v>
      </c>
      <c r="J24" s="5">
        <f t="shared" si="2"/>
        <v>10.042666694843616</v>
      </c>
      <c r="K24" s="42">
        <f t="shared" si="0"/>
        <v>0.25424539949475183</v>
      </c>
      <c r="L24" s="8">
        <f t="shared" si="3"/>
        <v>8.2247972190034755</v>
      </c>
      <c r="M24" s="26"/>
    </row>
    <row r="25" spans="1:13" x14ac:dyDescent="0.25">
      <c r="A25" s="24" t="s">
        <v>15</v>
      </c>
      <c r="B25" s="4">
        <v>804</v>
      </c>
      <c r="C25" t="s">
        <v>31</v>
      </c>
      <c r="D25" s="4" t="s">
        <v>14</v>
      </c>
      <c r="E25" s="5">
        <v>95944</v>
      </c>
      <c r="F25" s="75">
        <v>5466.6410000000014</v>
      </c>
      <c r="G25" s="78">
        <f t="shared" si="1"/>
        <v>90477.358999999997</v>
      </c>
      <c r="H25" s="6">
        <v>4706</v>
      </c>
      <c r="I25" s="7">
        <v>968</v>
      </c>
      <c r="J25" s="5">
        <f t="shared" si="2"/>
        <v>19.225958138546535</v>
      </c>
      <c r="K25" s="42">
        <f t="shared" si="0"/>
        <v>0.48673440592367051</v>
      </c>
      <c r="L25" s="8">
        <f t="shared" si="3"/>
        <v>4.8615702479338845</v>
      </c>
      <c r="M25" s="26"/>
    </row>
    <row r="26" spans="1:13" x14ac:dyDescent="0.25">
      <c r="A26" s="24" t="s">
        <v>15</v>
      </c>
      <c r="B26" s="4">
        <v>805</v>
      </c>
      <c r="C26" t="s">
        <v>31</v>
      </c>
      <c r="D26" s="4" t="s">
        <v>14</v>
      </c>
      <c r="E26" s="5">
        <v>497653</v>
      </c>
      <c r="F26" s="75">
        <v>39299.687000000049</v>
      </c>
      <c r="G26" s="78">
        <f t="shared" si="1"/>
        <v>458353.31299999997</v>
      </c>
      <c r="H26" s="6">
        <v>33432</v>
      </c>
      <c r="I26" s="7">
        <v>6038</v>
      </c>
      <c r="J26" s="5">
        <f t="shared" si="2"/>
        <v>13.710017737497008</v>
      </c>
      <c r="K26" s="42">
        <f t="shared" si="0"/>
        <v>0.34708997546834741</v>
      </c>
      <c r="L26" s="8">
        <f t="shared" si="3"/>
        <v>5.5369327591917852</v>
      </c>
      <c r="M26" s="26"/>
    </row>
    <row r="27" spans="1:13" x14ac:dyDescent="0.25">
      <c r="A27" s="24" t="s">
        <v>15</v>
      </c>
      <c r="B27" s="4">
        <v>831</v>
      </c>
      <c r="C27" t="s">
        <v>31</v>
      </c>
      <c r="D27" s="4" t="s">
        <v>14</v>
      </c>
      <c r="E27" s="5">
        <v>195128</v>
      </c>
      <c r="F27" s="75">
        <v>5067.3119999999999</v>
      </c>
      <c r="G27" s="78">
        <f t="shared" si="1"/>
        <v>190060.68799999999</v>
      </c>
      <c r="H27" s="6">
        <v>4824</v>
      </c>
      <c r="I27" s="7">
        <v>2222</v>
      </c>
      <c r="J27" s="5">
        <f t="shared" si="2"/>
        <v>39.39898175787728</v>
      </c>
      <c r="K27" s="42">
        <f t="shared" si="0"/>
        <v>0.99744521660378904</v>
      </c>
      <c r="L27" s="8">
        <f t="shared" si="3"/>
        <v>2.1710171017101709</v>
      </c>
      <c r="M27" s="26"/>
    </row>
    <row r="28" spans="1:13" x14ac:dyDescent="0.25">
      <c r="A28" s="24" t="s">
        <v>15</v>
      </c>
      <c r="B28" s="4">
        <v>219</v>
      </c>
      <c r="C28" t="s">
        <v>31</v>
      </c>
      <c r="D28" s="4" t="s">
        <v>17</v>
      </c>
      <c r="E28" s="5">
        <v>119491</v>
      </c>
      <c r="F28" s="75">
        <v>8698.6449999999986</v>
      </c>
      <c r="G28" s="78">
        <f t="shared" si="1"/>
        <v>110792.355</v>
      </c>
      <c r="H28" s="6">
        <v>7817</v>
      </c>
      <c r="I28" s="7">
        <v>1261</v>
      </c>
      <c r="J28" s="5">
        <f t="shared" si="2"/>
        <v>14.173257643597287</v>
      </c>
      <c r="K28" s="42">
        <f t="shared" si="0"/>
        <v>0.33389415429901065</v>
      </c>
      <c r="L28" s="8">
        <f t="shared" si="3"/>
        <v>6.1990483743061064</v>
      </c>
      <c r="M28" s="26"/>
    </row>
    <row r="29" spans="1:13" x14ac:dyDescent="0.25">
      <c r="A29" s="24" t="s">
        <v>15</v>
      </c>
      <c r="B29" s="4">
        <v>225</v>
      </c>
      <c r="C29" t="s">
        <v>31</v>
      </c>
      <c r="D29" s="4" t="s">
        <v>17</v>
      </c>
      <c r="E29" s="5">
        <v>36059</v>
      </c>
      <c r="F29" s="75">
        <v>1288.6270000000004</v>
      </c>
      <c r="G29" s="78">
        <f t="shared" si="1"/>
        <v>34770.373</v>
      </c>
      <c r="H29" s="6">
        <v>1369</v>
      </c>
      <c r="I29" s="7">
        <v>329</v>
      </c>
      <c r="J29" s="5">
        <f t="shared" si="2"/>
        <v>25.398373265157048</v>
      </c>
      <c r="K29" s="42">
        <f t="shared" si="0"/>
        <v>0.59833586428672492</v>
      </c>
      <c r="L29" s="8">
        <f t="shared" si="3"/>
        <v>4.1610942249240122</v>
      </c>
      <c r="M29" s="26"/>
    </row>
    <row r="30" spans="1:13" x14ac:dyDescent="0.25">
      <c r="A30" s="24" t="s">
        <v>15</v>
      </c>
      <c r="B30" s="4">
        <v>227</v>
      </c>
      <c r="C30" t="s">
        <v>31</v>
      </c>
      <c r="D30" s="4" t="s">
        <v>17</v>
      </c>
      <c r="E30" s="5">
        <v>36059</v>
      </c>
      <c r="F30" s="75">
        <v>1194.8650000000002</v>
      </c>
      <c r="G30" s="78">
        <f t="shared" si="1"/>
        <v>34864.135000000002</v>
      </c>
      <c r="H30" s="6">
        <v>1158</v>
      </c>
      <c r="I30" s="7">
        <v>329</v>
      </c>
      <c r="J30" s="5">
        <f t="shared" si="2"/>
        <v>30.107197754749571</v>
      </c>
      <c r="K30" s="42">
        <f t="shared" si="0"/>
        <v>0.70926653458362898</v>
      </c>
      <c r="L30" s="8">
        <f t="shared" si="3"/>
        <v>3.5197568389057752</v>
      </c>
      <c r="M30" s="26"/>
    </row>
    <row r="31" spans="1:13" x14ac:dyDescent="0.25">
      <c r="A31" s="24" t="s">
        <v>15</v>
      </c>
      <c r="B31" s="4">
        <v>323</v>
      </c>
      <c r="C31" t="s">
        <v>31</v>
      </c>
      <c r="D31" s="4" t="s">
        <v>17</v>
      </c>
      <c r="E31" s="5">
        <v>35981</v>
      </c>
      <c r="F31" s="75">
        <v>3114.2019999999989</v>
      </c>
      <c r="G31" s="78">
        <f t="shared" si="1"/>
        <v>32866.798000000003</v>
      </c>
      <c r="H31" s="6">
        <v>3404</v>
      </c>
      <c r="I31" s="7">
        <v>328</v>
      </c>
      <c r="J31" s="5">
        <f t="shared" si="2"/>
        <v>9.6553460634547594</v>
      </c>
      <c r="K31" s="42">
        <f t="shared" si="0"/>
        <v>0.22746101774124425</v>
      </c>
      <c r="L31" s="8">
        <f t="shared" si="3"/>
        <v>10.378048780487806</v>
      </c>
      <c r="M31" s="26"/>
    </row>
    <row r="32" spans="1:13" x14ac:dyDescent="0.25">
      <c r="A32" s="24" t="s">
        <v>15</v>
      </c>
      <c r="B32" s="4">
        <v>534</v>
      </c>
      <c r="C32" t="s">
        <v>31</v>
      </c>
      <c r="D32" s="4" t="s">
        <v>17</v>
      </c>
      <c r="E32" s="5">
        <v>4609</v>
      </c>
      <c r="F32" s="75">
        <v>75.52600000000001</v>
      </c>
      <c r="G32" s="78">
        <f t="shared" si="1"/>
        <v>4533.4740000000002</v>
      </c>
      <c r="H32" s="6">
        <v>72</v>
      </c>
      <c r="I32" s="7">
        <v>49</v>
      </c>
      <c r="J32" s="5">
        <f t="shared" si="2"/>
        <v>62.964916666666667</v>
      </c>
      <c r="K32" s="42">
        <f t="shared" si="0"/>
        <v>1.4833299534649806</v>
      </c>
      <c r="L32" s="8">
        <f t="shared" si="3"/>
        <v>1.4693877551020409</v>
      </c>
      <c r="M32" s="26"/>
    </row>
    <row r="33" spans="1:13" x14ac:dyDescent="0.25">
      <c r="A33" s="24" t="s">
        <v>15</v>
      </c>
      <c r="B33" s="4">
        <v>538</v>
      </c>
      <c r="C33" t="s">
        <v>31</v>
      </c>
      <c r="D33" s="4" t="s">
        <v>17</v>
      </c>
      <c r="E33" s="5">
        <v>100668</v>
      </c>
      <c r="F33" s="75">
        <v>9645.1710000000021</v>
      </c>
      <c r="G33" s="78">
        <f t="shared" si="1"/>
        <v>91022.828999999998</v>
      </c>
      <c r="H33" s="6">
        <v>9096</v>
      </c>
      <c r="I33" s="7">
        <v>1158</v>
      </c>
      <c r="J33" s="5">
        <f t="shared" si="2"/>
        <v>10.006907321899735</v>
      </c>
      <c r="K33" s="42">
        <f t="shared" si="0"/>
        <v>0.23574311152832847</v>
      </c>
      <c r="L33" s="8">
        <f t="shared" si="3"/>
        <v>7.8549222797927465</v>
      </c>
      <c r="M33" s="26"/>
    </row>
    <row r="34" spans="1:13" x14ac:dyDescent="0.25">
      <c r="A34" s="24" t="s">
        <v>15</v>
      </c>
      <c r="B34" s="4">
        <v>539</v>
      </c>
      <c r="C34" t="s">
        <v>31</v>
      </c>
      <c r="D34" s="4" t="s">
        <v>17</v>
      </c>
      <c r="E34" s="5">
        <v>117787</v>
      </c>
      <c r="F34" s="75">
        <v>12336.491000000005</v>
      </c>
      <c r="G34" s="78">
        <f t="shared" si="1"/>
        <v>105450.50899999999</v>
      </c>
      <c r="H34" s="6">
        <v>10536</v>
      </c>
      <c r="I34" s="7">
        <v>1339</v>
      </c>
      <c r="J34" s="5">
        <f t="shared" si="2"/>
        <v>10.008590451784357</v>
      </c>
      <c r="K34" s="42">
        <f t="shared" si="0"/>
        <v>0.23578276276755189</v>
      </c>
      <c r="L34" s="8">
        <f t="shared" si="3"/>
        <v>7.868558625840179</v>
      </c>
      <c r="M34" s="26"/>
    </row>
    <row r="35" spans="1:13" x14ac:dyDescent="0.25">
      <c r="A35" s="24" t="s">
        <v>15</v>
      </c>
      <c r="B35" s="4">
        <v>540</v>
      </c>
      <c r="C35" t="s">
        <v>31</v>
      </c>
      <c r="D35" s="4" t="s">
        <v>17</v>
      </c>
      <c r="E35" s="5">
        <v>67525.308906245831</v>
      </c>
      <c r="F35" s="75">
        <v>7489.5660000000007</v>
      </c>
      <c r="G35" s="78">
        <f t="shared" si="1"/>
        <v>60035.742906245832</v>
      </c>
      <c r="H35" s="6">
        <v>6609</v>
      </c>
      <c r="I35" s="7">
        <v>665</v>
      </c>
      <c r="J35" s="5">
        <f t="shared" si="2"/>
        <v>9.0839374952709679</v>
      </c>
      <c r="K35" s="42">
        <f t="shared" si="0"/>
        <v>0.21399975248871256</v>
      </c>
      <c r="L35" s="8">
        <f t="shared" si="3"/>
        <v>9.9383458646616543</v>
      </c>
      <c r="M35" s="26"/>
    </row>
    <row r="36" spans="1:13" x14ac:dyDescent="0.25">
      <c r="A36" s="24" t="s">
        <v>15</v>
      </c>
      <c r="B36" s="4">
        <v>546</v>
      </c>
      <c r="C36" t="s">
        <v>31</v>
      </c>
      <c r="D36" s="4" t="s">
        <v>17</v>
      </c>
      <c r="E36" s="5">
        <v>4682</v>
      </c>
      <c r="F36" s="75">
        <v>237.83399999999995</v>
      </c>
      <c r="G36" s="78">
        <f t="shared" si="1"/>
        <v>4444.1660000000002</v>
      </c>
      <c r="H36" s="6">
        <v>158</v>
      </c>
      <c r="I36" s="7">
        <v>55</v>
      </c>
      <c r="J36" s="5">
        <f t="shared" si="2"/>
        <v>28.127632911392407</v>
      </c>
      <c r="K36" s="42">
        <f t="shared" si="0"/>
        <v>0.66263186908374783</v>
      </c>
      <c r="L36" s="8">
        <f t="shared" si="3"/>
        <v>2.8727272727272726</v>
      </c>
      <c r="M36" s="26"/>
    </row>
    <row r="37" spans="1:13" x14ac:dyDescent="0.25">
      <c r="A37" s="24" t="s">
        <v>15</v>
      </c>
      <c r="B37" s="4">
        <v>615</v>
      </c>
      <c r="C37" t="s">
        <v>31</v>
      </c>
      <c r="D37" s="4" t="s">
        <v>17</v>
      </c>
      <c r="E37" s="5">
        <v>82259</v>
      </c>
      <c r="F37" s="75">
        <v>3574.3729999999982</v>
      </c>
      <c r="G37" s="78">
        <f t="shared" si="1"/>
        <v>78684.627000000008</v>
      </c>
      <c r="H37" s="6">
        <v>3378</v>
      </c>
      <c r="I37" s="7">
        <v>1071</v>
      </c>
      <c r="J37" s="5">
        <f t="shared" si="2"/>
        <v>23.293258436944939</v>
      </c>
      <c r="K37" s="42">
        <f t="shared" ref="K37:K68" si="4">+IF(D37="Weekday",J37/$G$98,IF(D37="Saturday",J37/$G$99,IF(D37="Sunday",J37/$G$100, "NA")))</f>
        <v>0.54874348736512746</v>
      </c>
      <c r="L37" s="8">
        <f t="shared" si="3"/>
        <v>3.1540616246498598</v>
      </c>
      <c r="M37" s="26"/>
    </row>
    <row r="38" spans="1:13" x14ac:dyDescent="0.25">
      <c r="A38" s="24" t="s">
        <v>15</v>
      </c>
      <c r="B38" s="4">
        <v>716</v>
      </c>
      <c r="C38" t="s">
        <v>31</v>
      </c>
      <c r="D38" s="4" t="s">
        <v>17</v>
      </c>
      <c r="E38" s="5">
        <v>47185</v>
      </c>
      <c r="F38" s="75">
        <v>2321.4109999999996</v>
      </c>
      <c r="G38" s="78">
        <f t="shared" si="1"/>
        <v>44863.589</v>
      </c>
      <c r="H38" s="6">
        <v>2442</v>
      </c>
      <c r="I38" s="7">
        <v>570</v>
      </c>
      <c r="J38" s="5">
        <f t="shared" si="2"/>
        <v>18.371658067158066</v>
      </c>
      <c r="K38" s="42">
        <f t="shared" si="4"/>
        <v>0.43280023461475947</v>
      </c>
      <c r="L38" s="8">
        <f t="shared" si="3"/>
        <v>4.2842105263157899</v>
      </c>
      <c r="M38" s="26"/>
    </row>
    <row r="39" spans="1:13" x14ac:dyDescent="0.25">
      <c r="A39" s="24" t="s">
        <v>15</v>
      </c>
      <c r="B39" s="4">
        <v>804</v>
      </c>
      <c r="C39" t="s">
        <v>31</v>
      </c>
      <c r="D39" s="4" t="s">
        <v>17</v>
      </c>
      <c r="E39" s="5">
        <v>16063</v>
      </c>
      <c r="F39" s="75">
        <v>573.40099999999995</v>
      </c>
      <c r="G39" s="78">
        <f t="shared" si="1"/>
        <v>15489.599</v>
      </c>
      <c r="H39" s="6">
        <v>505</v>
      </c>
      <c r="I39" s="7">
        <v>161</v>
      </c>
      <c r="J39" s="5">
        <f t="shared" si="2"/>
        <v>30.672473267326733</v>
      </c>
      <c r="K39" s="42">
        <f t="shared" si="4"/>
        <v>0.72258331707386725</v>
      </c>
      <c r="L39" s="8">
        <f t="shared" si="3"/>
        <v>3.1366459627329193</v>
      </c>
      <c r="M39" s="26"/>
    </row>
    <row r="40" spans="1:13" x14ac:dyDescent="0.25">
      <c r="A40" s="24" t="s">
        <v>15</v>
      </c>
      <c r="B40" s="4">
        <v>805</v>
      </c>
      <c r="C40" t="s">
        <v>31</v>
      </c>
      <c r="D40" s="4" t="s">
        <v>17</v>
      </c>
      <c r="E40" s="5">
        <v>79088</v>
      </c>
      <c r="F40" s="75">
        <v>5092.378999999999</v>
      </c>
      <c r="G40" s="78">
        <f t="shared" si="1"/>
        <v>73995.620999999999</v>
      </c>
      <c r="H40" s="6">
        <v>4719</v>
      </c>
      <c r="I40" s="7">
        <v>980</v>
      </c>
      <c r="J40" s="5">
        <f t="shared" si="2"/>
        <v>15.680360457724094</v>
      </c>
      <c r="K40" s="42">
        <f t="shared" si="4"/>
        <v>0.36939854095579688</v>
      </c>
      <c r="L40" s="8">
        <f t="shared" si="3"/>
        <v>4.8153061224489795</v>
      </c>
      <c r="M40" s="26"/>
    </row>
    <row r="41" spans="1:13" x14ac:dyDescent="0.25">
      <c r="A41" s="24" t="s">
        <v>15</v>
      </c>
      <c r="B41" s="4">
        <v>323</v>
      </c>
      <c r="C41" t="s">
        <v>31</v>
      </c>
      <c r="D41" s="4" t="s">
        <v>18</v>
      </c>
      <c r="E41" s="5">
        <v>78165</v>
      </c>
      <c r="F41" s="75">
        <v>2076.1179999999995</v>
      </c>
      <c r="G41" s="78">
        <f t="shared" si="1"/>
        <v>76088.881999999998</v>
      </c>
      <c r="H41" s="6">
        <v>2622</v>
      </c>
      <c r="I41" s="7">
        <v>685</v>
      </c>
      <c r="J41" s="5">
        <f t="shared" si="2"/>
        <v>29.019405797101449</v>
      </c>
      <c r="K41" s="42">
        <f t="shared" si="4"/>
        <v>0.42365266424264131</v>
      </c>
      <c r="L41" s="8">
        <f t="shared" si="3"/>
        <v>3.8277372262773723</v>
      </c>
      <c r="M41" s="26"/>
    </row>
    <row r="42" spans="1:13" x14ac:dyDescent="0.25">
      <c r="A42" s="24" t="s">
        <v>15</v>
      </c>
      <c r="B42" s="4">
        <v>534</v>
      </c>
      <c r="C42" t="s">
        <v>31</v>
      </c>
      <c r="D42" s="4" t="s">
        <v>18</v>
      </c>
      <c r="E42" s="5">
        <v>4682</v>
      </c>
      <c r="F42" s="75">
        <v>106.56600000000003</v>
      </c>
      <c r="G42" s="78">
        <f t="shared" si="1"/>
        <v>4575.4340000000002</v>
      </c>
      <c r="H42" s="6">
        <v>68</v>
      </c>
      <c r="I42" s="7">
        <v>49</v>
      </c>
      <c r="J42" s="5">
        <f t="shared" si="2"/>
        <v>67.285794117647058</v>
      </c>
      <c r="K42" s="42">
        <f t="shared" si="4"/>
        <v>0.98230150344671319</v>
      </c>
      <c r="L42" s="8">
        <f t="shared" si="3"/>
        <v>1.3877551020408163</v>
      </c>
      <c r="M42" s="26"/>
    </row>
    <row r="43" spans="1:13" x14ac:dyDescent="0.25">
      <c r="A43" s="24" t="s">
        <v>15</v>
      </c>
      <c r="B43" s="4">
        <v>538</v>
      </c>
      <c r="C43" t="s">
        <v>31</v>
      </c>
      <c r="D43" s="4" t="s">
        <v>18</v>
      </c>
      <c r="E43" s="5">
        <v>86768</v>
      </c>
      <c r="F43" s="75">
        <v>6147.0199999999986</v>
      </c>
      <c r="G43" s="78">
        <f t="shared" si="1"/>
        <v>80620.98</v>
      </c>
      <c r="H43" s="6">
        <v>6479</v>
      </c>
      <c r="I43" s="7">
        <v>999</v>
      </c>
      <c r="J43" s="5">
        <f t="shared" si="2"/>
        <v>12.443429541595926</v>
      </c>
      <c r="K43" s="42">
        <f t="shared" si="4"/>
        <v>0.18166092422675506</v>
      </c>
      <c r="L43" s="8">
        <f t="shared" si="3"/>
        <v>6.4854854854854853</v>
      </c>
      <c r="M43" s="26"/>
    </row>
    <row r="44" spans="1:13" x14ac:dyDescent="0.25">
      <c r="A44" s="24" t="s">
        <v>15</v>
      </c>
      <c r="B44" s="4">
        <v>539</v>
      </c>
      <c r="C44" t="s">
        <v>31</v>
      </c>
      <c r="D44" s="4" t="s">
        <v>18</v>
      </c>
      <c r="E44" s="5">
        <v>94596</v>
      </c>
      <c r="F44" s="75">
        <v>7117.4579999999987</v>
      </c>
      <c r="G44" s="78">
        <f t="shared" si="1"/>
        <v>87478.542000000001</v>
      </c>
      <c r="H44" s="6">
        <v>6848</v>
      </c>
      <c r="I44" s="7">
        <v>1061</v>
      </c>
      <c r="J44" s="5">
        <f t="shared" si="2"/>
        <v>12.77431980140187</v>
      </c>
      <c r="K44" s="42">
        <f t="shared" si="4"/>
        <v>0.18649157241848094</v>
      </c>
      <c r="L44" s="8">
        <f t="shared" si="3"/>
        <v>6.4542884071630535</v>
      </c>
      <c r="M44" s="26"/>
    </row>
    <row r="45" spans="1:13" x14ac:dyDescent="0.25">
      <c r="A45" s="24" t="s">
        <v>15</v>
      </c>
      <c r="B45" s="4">
        <v>540</v>
      </c>
      <c r="C45" t="s">
        <v>31</v>
      </c>
      <c r="D45" s="4" t="s">
        <v>18</v>
      </c>
      <c r="E45" s="5">
        <v>62396.943672860078</v>
      </c>
      <c r="F45" s="75">
        <v>4857.873999999998</v>
      </c>
      <c r="G45" s="78">
        <f t="shared" si="1"/>
        <v>57539.069672860081</v>
      </c>
      <c r="H45" s="6">
        <v>4717</v>
      </c>
      <c r="I45" s="7">
        <v>603</v>
      </c>
      <c r="J45" s="5">
        <f t="shared" si="2"/>
        <v>12.198233977710427</v>
      </c>
      <c r="K45" s="42">
        <f t="shared" si="4"/>
        <v>0.17808132805490842</v>
      </c>
      <c r="L45" s="8">
        <f t="shared" si="3"/>
        <v>7.8225538971807627</v>
      </c>
      <c r="M45" s="26"/>
    </row>
    <row r="46" spans="1:13" x14ac:dyDescent="0.25">
      <c r="A46" s="24" t="s">
        <v>15</v>
      </c>
      <c r="B46" s="4">
        <v>546</v>
      </c>
      <c r="C46" t="s">
        <v>31</v>
      </c>
      <c r="D46" s="4" t="s">
        <v>18</v>
      </c>
      <c r="E46" s="5">
        <v>4609</v>
      </c>
      <c r="F46" s="75">
        <v>211.61599999999996</v>
      </c>
      <c r="G46" s="78">
        <f t="shared" si="1"/>
        <v>4397.384</v>
      </c>
      <c r="H46" s="6">
        <v>139</v>
      </c>
      <c r="I46" s="7">
        <v>55</v>
      </c>
      <c r="J46" s="5">
        <f t="shared" si="2"/>
        <v>31.635856115107913</v>
      </c>
      <c r="K46" s="42">
        <f t="shared" si="4"/>
        <v>0.4618500744801956</v>
      </c>
      <c r="L46" s="8">
        <f t="shared" si="3"/>
        <v>2.5272727272727273</v>
      </c>
      <c r="M46" s="26"/>
    </row>
    <row r="47" spans="1:13" x14ac:dyDescent="0.25">
      <c r="A47" s="24" t="s">
        <v>15</v>
      </c>
      <c r="B47" s="4">
        <v>804</v>
      </c>
      <c r="C47" t="s">
        <v>31</v>
      </c>
      <c r="D47" s="4" t="s">
        <v>18</v>
      </c>
      <c r="E47" s="5">
        <v>16423</v>
      </c>
      <c r="F47" s="75">
        <v>347.61700000000002</v>
      </c>
      <c r="G47" s="78">
        <f t="shared" si="1"/>
        <v>16075.383</v>
      </c>
      <c r="H47" s="6">
        <v>377</v>
      </c>
      <c r="I47" s="7">
        <v>162</v>
      </c>
      <c r="J47" s="5">
        <f t="shared" si="2"/>
        <v>42.640273209549072</v>
      </c>
      <c r="K47" s="42">
        <f t="shared" si="4"/>
        <v>0.62250293736420825</v>
      </c>
      <c r="L47" s="8">
        <f t="shared" si="3"/>
        <v>2.3271604938271606</v>
      </c>
      <c r="M47" s="26"/>
    </row>
    <row r="48" spans="1:13" x14ac:dyDescent="0.25">
      <c r="A48" s="24" t="s">
        <v>16</v>
      </c>
      <c r="B48" s="4">
        <v>425</v>
      </c>
      <c r="C48" t="s">
        <v>31</v>
      </c>
      <c r="D48" s="4" t="s">
        <v>14</v>
      </c>
      <c r="E48" s="78">
        <v>89091.404803138284</v>
      </c>
      <c r="F48" s="78">
        <v>492.65390914334591</v>
      </c>
      <c r="G48" s="78">
        <f t="shared" si="1"/>
        <v>88598.750893994933</v>
      </c>
      <c r="H48">
        <v>409</v>
      </c>
      <c r="I48">
        <v>631.31399999999985</v>
      </c>
      <c r="J48" s="5">
        <f t="shared" si="2"/>
        <v>216.6228628215035</v>
      </c>
      <c r="K48" s="42">
        <f t="shared" si="4"/>
        <v>5.4841376271133546</v>
      </c>
      <c r="L48" s="8">
        <f t="shared" si="3"/>
        <v>0.64785510855137074</v>
      </c>
      <c r="M48" s="26"/>
    </row>
    <row r="49" spans="1:13" x14ac:dyDescent="0.25">
      <c r="A49" s="24" t="s">
        <v>16</v>
      </c>
      <c r="B49" s="4">
        <v>436</v>
      </c>
      <c r="C49" t="s">
        <v>31</v>
      </c>
      <c r="D49" s="4" t="s">
        <v>14</v>
      </c>
      <c r="E49" s="78">
        <v>367820.47115124669</v>
      </c>
      <c r="F49" s="78">
        <v>11131.721251847153</v>
      </c>
      <c r="G49" s="78">
        <f t="shared" si="1"/>
        <v>356688.74989939953</v>
      </c>
      <c r="H49">
        <v>6583</v>
      </c>
      <c r="I49">
        <v>1473.1999999999998</v>
      </c>
      <c r="J49" s="5">
        <f t="shared" si="2"/>
        <v>54.183313063861391</v>
      </c>
      <c r="K49" s="42">
        <f t="shared" si="4"/>
        <v>1.3717330759312989</v>
      </c>
      <c r="L49" s="8">
        <f t="shared" si="3"/>
        <v>4.468503937007875</v>
      </c>
      <c r="M49" s="26"/>
    </row>
    <row r="50" spans="1:13" x14ac:dyDescent="0.25">
      <c r="A50" s="24" t="s">
        <v>16</v>
      </c>
      <c r="B50" s="4">
        <v>440</v>
      </c>
      <c r="C50" t="s">
        <v>31</v>
      </c>
      <c r="D50" s="4" t="s">
        <v>14</v>
      </c>
      <c r="E50" s="78">
        <v>805921.06614933023</v>
      </c>
      <c r="F50" s="78">
        <v>20157.650428226807</v>
      </c>
      <c r="G50" s="78">
        <f t="shared" si="1"/>
        <v>785763.41572110343</v>
      </c>
      <c r="H50">
        <v>15080</v>
      </c>
      <c r="I50">
        <v>4976.9519999999993</v>
      </c>
      <c r="J50" s="5">
        <f t="shared" si="2"/>
        <v>52.106327302460443</v>
      </c>
      <c r="K50" s="42">
        <f t="shared" si="4"/>
        <v>1.3191510187249766</v>
      </c>
      <c r="L50" s="8">
        <f t="shared" si="3"/>
        <v>3.0299669355862791</v>
      </c>
      <c r="M50" s="26"/>
    </row>
    <row r="51" spans="1:13" x14ac:dyDescent="0.25">
      <c r="A51" s="24" t="s">
        <v>16</v>
      </c>
      <c r="B51" s="4">
        <v>442</v>
      </c>
      <c r="C51" t="s">
        <v>31</v>
      </c>
      <c r="D51" s="4" t="s">
        <v>14</v>
      </c>
      <c r="E51" s="78">
        <v>1588412.4850165143</v>
      </c>
      <c r="F51" s="78">
        <v>27547.809770311138</v>
      </c>
      <c r="G51" s="78">
        <f t="shared" si="1"/>
        <v>1560864.6752462031</v>
      </c>
      <c r="H51">
        <v>25672</v>
      </c>
      <c r="I51">
        <v>9937.3669999999984</v>
      </c>
      <c r="J51" s="5">
        <f t="shared" si="2"/>
        <v>60.800275601675096</v>
      </c>
      <c r="K51" s="42">
        <f t="shared" si="4"/>
        <v>1.5392515583212445</v>
      </c>
      <c r="L51" s="8">
        <f t="shared" si="3"/>
        <v>2.5833804870042543</v>
      </c>
      <c r="M51" s="26"/>
    </row>
    <row r="52" spans="1:13" x14ac:dyDescent="0.25">
      <c r="A52" s="24" t="s">
        <v>16</v>
      </c>
      <c r="B52" s="4">
        <v>444</v>
      </c>
      <c r="C52" t="s">
        <v>31</v>
      </c>
      <c r="D52" s="4" t="s">
        <v>14</v>
      </c>
      <c r="E52" s="78">
        <v>2133921.9796466166</v>
      </c>
      <c r="F52" s="78">
        <v>121602.13595442027</v>
      </c>
      <c r="G52" s="78">
        <f t="shared" si="1"/>
        <v>2012319.8436921963</v>
      </c>
      <c r="H52">
        <v>98226</v>
      </c>
      <c r="I52">
        <v>14062.901999999996</v>
      </c>
      <c r="J52" s="5">
        <f t="shared" si="2"/>
        <v>20.486631275753837</v>
      </c>
      <c r="K52" s="42">
        <f t="shared" si="4"/>
        <v>0.51865026603741327</v>
      </c>
      <c r="L52" s="8">
        <f t="shared" si="3"/>
        <v>6.9847603289847306</v>
      </c>
      <c r="M52" s="26"/>
    </row>
    <row r="53" spans="1:13" x14ac:dyDescent="0.25">
      <c r="A53" s="24" t="s">
        <v>16</v>
      </c>
      <c r="B53" s="4" t="s">
        <v>32</v>
      </c>
      <c r="C53" t="s">
        <v>31</v>
      </c>
      <c r="D53" s="4" t="s">
        <v>14</v>
      </c>
      <c r="E53" s="78">
        <v>1044081.4869888079</v>
      </c>
      <c r="F53" s="78">
        <v>31846.676517589494</v>
      </c>
      <c r="G53" s="78">
        <f t="shared" si="1"/>
        <v>1012234.8104712184</v>
      </c>
      <c r="H53">
        <v>27441</v>
      </c>
      <c r="I53">
        <v>6836.9739999999965</v>
      </c>
      <c r="J53" s="5">
        <f t="shared" si="2"/>
        <v>36.887679402034124</v>
      </c>
      <c r="K53" s="42">
        <f t="shared" si="4"/>
        <v>0.93386777346896066</v>
      </c>
      <c r="L53" s="8">
        <f t="shared" si="3"/>
        <v>4.0136177203540653</v>
      </c>
      <c r="M53" s="26"/>
    </row>
    <row r="54" spans="1:13" x14ac:dyDescent="0.25">
      <c r="A54" s="24" t="s">
        <v>16</v>
      </c>
      <c r="B54" s="4">
        <v>446</v>
      </c>
      <c r="C54" t="s">
        <v>31</v>
      </c>
      <c r="D54" s="4" t="s">
        <v>14</v>
      </c>
      <c r="E54" s="78">
        <v>1089122.2835107385</v>
      </c>
      <c r="F54" s="78">
        <v>41571.828762162171</v>
      </c>
      <c r="G54" s="78">
        <f t="shared" si="1"/>
        <v>1047550.4547485764</v>
      </c>
      <c r="H54">
        <v>29277</v>
      </c>
      <c r="I54">
        <v>7187.2259999999997</v>
      </c>
      <c r="J54" s="5">
        <f t="shared" si="2"/>
        <v>35.780662456828786</v>
      </c>
      <c r="K54" s="42">
        <f t="shared" si="4"/>
        <v>0.90584195383026822</v>
      </c>
      <c r="L54" s="8">
        <f t="shared" si="3"/>
        <v>4.0734770271590177</v>
      </c>
      <c r="M54" s="26"/>
    </row>
    <row r="55" spans="1:13" x14ac:dyDescent="0.25">
      <c r="A55" s="24" t="s">
        <v>16</v>
      </c>
      <c r="B55" s="4">
        <v>447</v>
      </c>
      <c r="C55" t="s">
        <v>31</v>
      </c>
      <c r="D55" s="4" t="s">
        <v>14</v>
      </c>
      <c r="E55" s="78">
        <v>1605272.3267902199</v>
      </c>
      <c r="F55" s="78">
        <v>6362.3556165215268</v>
      </c>
      <c r="G55" s="78">
        <f t="shared" si="1"/>
        <v>1598909.9711736983</v>
      </c>
      <c r="H55">
        <v>10309</v>
      </c>
      <c r="I55">
        <v>10304.592000000001</v>
      </c>
      <c r="J55" s="5">
        <f t="shared" si="2"/>
        <v>155.09845486213001</v>
      </c>
      <c r="K55" s="42">
        <f t="shared" si="4"/>
        <v>3.9265535555100914</v>
      </c>
      <c r="L55" s="8">
        <f t="shared" si="3"/>
        <v>1.000427770454182</v>
      </c>
      <c r="M55" s="26"/>
    </row>
    <row r="56" spans="1:13" x14ac:dyDescent="0.25">
      <c r="A56" s="24" t="s">
        <v>16</v>
      </c>
      <c r="B56" s="4">
        <v>489</v>
      </c>
      <c r="C56" t="s">
        <v>31</v>
      </c>
      <c r="D56" s="4" t="s">
        <v>14</v>
      </c>
      <c r="E56" s="78">
        <v>63227.139740948973</v>
      </c>
      <c r="F56" s="78">
        <v>1463.2870207807757</v>
      </c>
      <c r="G56" s="78">
        <f t="shared" si="1"/>
        <v>61763.852720168194</v>
      </c>
      <c r="H56">
        <v>914</v>
      </c>
      <c r="I56">
        <v>359.85599999999999</v>
      </c>
      <c r="J56" s="5">
        <f t="shared" si="2"/>
        <v>67.57533120368511</v>
      </c>
      <c r="K56" s="42">
        <f t="shared" si="4"/>
        <v>1.7107724073619299</v>
      </c>
      <c r="L56" s="8">
        <f t="shared" si="3"/>
        <v>2.5399048508292208</v>
      </c>
      <c r="M56" s="26"/>
    </row>
    <row r="57" spans="1:13" x14ac:dyDescent="0.25">
      <c r="A57" s="24" t="s">
        <v>16</v>
      </c>
      <c r="B57" s="4">
        <v>497</v>
      </c>
      <c r="C57" t="s">
        <v>31</v>
      </c>
      <c r="D57" s="4" t="s">
        <v>14</v>
      </c>
      <c r="E57" s="78">
        <v>373676.52488777519</v>
      </c>
      <c r="F57" s="78">
        <v>11215.202970920593</v>
      </c>
      <c r="G57" s="78">
        <f t="shared" si="1"/>
        <v>362461.32191685459</v>
      </c>
      <c r="H57">
        <v>9442</v>
      </c>
      <c r="I57">
        <v>3266.253999999999</v>
      </c>
      <c r="J57" s="5">
        <f t="shared" si="2"/>
        <v>38.38819338242476</v>
      </c>
      <c r="K57" s="42">
        <f t="shared" si="4"/>
        <v>0.97185556973703324</v>
      </c>
      <c r="L57" s="8">
        <f t="shared" si="3"/>
        <v>2.8907733446327208</v>
      </c>
      <c r="M57" s="26"/>
    </row>
    <row r="58" spans="1:13" x14ac:dyDescent="0.25">
      <c r="A58" s="24" t="s">
        <v>16</v>
      </c>
      <c r="B58" s="4">
        <v>499</v>
      </c>
      <c r="C58" t="s">
        <v>31</v>
      </c>
      <c r="D58" s="4" t="s">
        <v>14</v>
      </c>
      <c r="E58" s="78">
        <v>356603.21832189802</v>
      </c>
      <c r="F58" s="78">
        <v>6398.2645516627035</v>
      </c>
      <c r="G58" s="78">
        <f t="shared" si="1"/>
        <v>350204.9537702353</v>
      </c>
      <c r="H58">
        <v>8688</v>
      </c>
      <c r="I58">
        <v>3082.5439999999985</v>
      </c>
      <c r="J58" s="5">
        <f t="shared" si="2"/>
        <v>40.30904164022045</v>
      </c>
      <c r="K58" s="42">
        <f t="shared" si="4"/>
        <v>1.0204847682867386</v>
      </c>
      <c r="L58" s="8">
        <f t="shared" si="3"/>
        <v>2.8184512532505632</v>
      </c>
      <c r="M58" s="26"/>
    </row>
    <row r="59" spans="1:13" x14ac:dyDescent="0.25">
      <c r="A59" s="24" t="s">
        <v>16</v>
      </c>
      <c r="B59" s="4">
        <v>420</v>
      </c>
      <c r="C59" t="s">
        <v>31</v>
      </c>
      <c r="D59" s="4" t="s">
        <v>17</v>
      </c>
      <c r="E59" s="78">
        <v>85809.275703088468</v>
      </c>
      <c r="F59" s="78">
        <v>461.65989393388651</v>
      </c>
      <c r="G59" s="78">
        <f t="shared" si="1"/>
        <v>85347.61580915458</v>
      </c>
      <c r="H59">
        <v>548</v>
      </c>
      <c r="I59">
        <v>530.42399999999986</v>
      </c>
      <c r="J59" s="5">
        <f t="shared" si="2"/>
        <v>155.74382446926018</v>
      </c>
      <c r="K59" s="42">
        <f t="shared" si="4"/>
        <v>3.669019068594217</v>
      </c>
      <c r="L59" s="8">
        <f t="shared" si="3"/>
        <v>1.0331357555465064</v>
      </c>
      <c r="M59" s="26"/>
    </row>
    <row r="60" spans="1:13" x14ac:dyDescent="0.25">
      <c r="A60" s="24" t="s">
        <v>16</v>
      </c>
      <c r="B60" s="4">
        <v>440</v>
      </c>
      <c r="C60" t="s">
        <v>31</v>
      </c>
      <c r="D60" s="4" t="s">
        <v>17</v>
      </c>
      <c r="E60" s="78">
        <v>128545.68890604534</v>
      </c>
      <c r="F60" s="78">
        <v>1945.5198107650258</v>
      </c>
      <c r="G60" s="78">
        <f t="shared" si="1"/>
        <v>126600.16909528032</v>
      </c>
      <c r="H60">
        <v>1748</v>
      </c>
      <c r="I60">
        <v>781.30500000000006</v>
      </c>
      <c r="J60" s="5">
        <f t="shared" si="2"/>
        <v>72.425726027048242</v>
      </c>
      <c r="K60" s="42">
        <f t="shared" si="4"/>
        <v>1.7062080679961023</v>
      </c>
      <c r="L60" s="8">
        <f t="shared" si="3"/>
        <v>2.2372824953123298</v>
      </c>
      <c r="M60" s="26"/>
    </row>
    <row r="61" spans="1:13" x14ac:dyDescent="0.25">
      <c r="A61" s="24" t="s">
        <v>16</v>
      </c>
      <c r="B61" s="4">
        <v>442</v>
      </c>
      <c r="C61" t="s">
        <v>31</v>
      </c>
      <c r="D61" s="4" t="s">
        <v>17</v>
      </c>
      <c r="E61" s="78">
        <v>238452.7971379064</v>
      </c>
      <c r="F61" s="78">
        <v>4117.2534175464252</v>
      </c>
      <c r="G61" s="78">
        <f t="shared" si="1"/>
        <v>234335.54372035997</v>
      </c>
      <c r="H61">
        <v>4151</v>
      </c>
      <c r="I61">
        <v>1486.7699999999982</v>
      </c>
      <c r="J61" s="5">
        <f t="shared" si="2"/>
        <v>56.452792994545888</v>
      </c>
      <c r="K61" s="42">
        <f t="shared" si="4"/>
        <v>1.3299170909551685</v>
      </c>
      <c r="L61" s="8">
        <f t="shared" si="3"/>
        <v>2.7919584064784768</v>
      </c>
      <c r="M61" s="26"/>
    </row>
    <row r="62" spans="1:13" x14ac:dyDescent="0.25">
      <c r="A62" s="24" t="s">
        <v>16</v>
      </c>
      <c r="B62" s="4">
        <v>444</v>
      </c>
      <c r="C62" t="s">
        <v>31</v>
      </c>
      <c r="D62" s="4" t="s">
        <v>17</v>
      </c>
      <c r="E62" s="78">
        <v>212253.150547039</v>
      </c>
      <c r="F62" s="78">
        <v>14566.362980870594</v>
      </c>
      <c r="G62" s="78">
        <f t="shared" si="1"/>
        <v>197686.78756616841</v>
      </c>
      <c r="H62">
        <v>12716</v>
      </c>
      <c r="I62">
        <v>1269.1380000000001</v>
      </c>
      <c r="J62" s="5">
        <f t="shared" si="2"/>
        <v>15.546302891331269</v>
      </c>
      <c r="K62" s="42">
        <f t="shared" si="4"/>
        <v>0.3662404075976316</v>
      </c>
      <c r="L62" s="8">
        <f t="shared" si="3"/>
        <v>10.019398993647656</v>
      </c>
      <c r="M62" s="26"/>
    </row>
    <row r="63" spans="1:13" x14ac:dyDescent="0.25">
      <c r="A63" s="24" t="s">
        <v>16</v>
      </c>
      <c r="B63" s="4">
        <v>445</v>
      </c>
      <c r="C63" t="s">
        <v>31</v>
      </c>
      <c r="D63" s="4" t="s">
        <v>17</v>
      </c>
      <c r="E63" s="78">
        <v>122124.40171656931</v>
      </c>
      <c r="F63" s="78">
        <v>4330.7553126125549</v>
      </c>
      <c r="G63" s="78">
        <f t="shared" si="1"/>
        <v>117793.64640395675</v>
      </c>
      <c r="H63">
        <v>4176</v>
      </c>
      <c r="I63">
        <v>809.28599999999994</v>
      </c>
      <c r="J63" s="5">
        <f t="shared" si="2"/>
        <v>28.207290805545199</v>
      </c>
      <c r="K63" s="42">
        <f t="shared" si="4"/>
        <v>0.66450845284947102</v>
      </c>
      <c r="L63" s="8">
        <f t="shared" si="3"/>
        <v>5.1601040917549543</v>
      </c>
      <c r="M63" s="26"/>
    </row>
    <row r="64" spans="1:13" x14ac:dyDescent="0.25">
      <c r="A64" s="24" t="s">
        <v>16</v>
      </c>
      <c r="B64" s="4">
        <v>447</v>
      </c>
      <c r="C64" t="s">
        <v>31</v>
      </c>
      <c r="D64" s="4" t="s">
        <v>17</v>
      </c>
      <c r="E64" s="78">
        <v>352247.68124566652</v>
      </c>
      <c r="F64" s="78">
        <v>1296.4843315454693</v>
      </c>
      <c r="G64" s="78">
        <f t="shared" si="1"/>
        <v>350951.19691412104</v>
      </c>
      <c r="H64">
        <v>2176</v>
      </c>
      <c r="I64">
        <v>2131.1200000000003</v>
      </c>
      <c r="J64" s="5">
        <f t="shared" si="2"/>
        <v>161.28271917009238</v>
      </c>
      <c r="K64" s="42">
        <f t="shared" si="4"/>
        <v>3.7995045651815946</v>
      </c>
      <c r="L64" s="8">
        <f t="shared" si="3"/>
        <v>1.0210593490746649</v>
      </c>
      <c r="M64" s="26"/>
    </row>
    <row r="65" spans="1:13" x14ac:dyDescent="0.25">
      <c r="A65" s="24" t="s">
        <v>16</v>
      </c>
      <c r="B65" s="4">
        <v>497</v>
      </c>
      <c r="C65" t="s">
        <v>31</v>
      </c>
      <c r="D65" s="4" t="s">
        <v>17</v>
      </c>
      <c r="E65" s="78">
        <v>57506.738109581565</v>
      </c>
      <c r="F65" s="78">
        <v>604.05927333441423</v>
      </c>
      <c r="G65" s="78">
        <f t="shared" si="1"/>
        <v>56902.678836247149</v>
      </c>
      <c r="H65">
        <v>836</v>
      </c>
      <c r="I65">
        <v>329.40799999999996</v>
      </c>
      <c r="J65" s="5">
        <f t="shared" si="2"/>
        <v>68.065405306515729</v>
      </c>
      <c r="K65" s="42">
        <f t="shared" si="4"/>
        <v>1.6034874630325462</v>
      </c>
      <c r="L65" s="8">
        <f t="shared" si="3"/>
        <v>2.537886147270255</v>
      </c>
      <c r="M65" s="26"/>
    </row>
    <row r="66" spans="1:13" x14ac:dyDescent="0.25">
      <c r="A66" s="24" t="s">
        <v>16</v>
      </c>
      <c r="B66" s="4">
        <v>499</v>
      </c>
      <c r="C66" t="s">
        <v>31</v>
      </c>
      <c r="D66" s="4" t="s">
        <v>17</v>
      </c>
      <c r="E66" s="78">
        <v>59815.242786760769</v>
      </c>
      <c r="F66" s="78">
        <v>365.37162530242597</v>
      </c>
      <c r="G66" s="78">
        <f t="shared" si="1"/>
        <v>59449.871161458344</v>
      </c>
      <c r="H66">
        <v>622</v>
      </c>
      <c r="I66">
        <v>321.60399999999998</v>
      </c>
      <c r="J66" s="5">
        <f t="shared" si="2"/>
        <v>95.57857099912917</v>
      </c>
      <c r="K66" s="42">
        <f t="shared" si="4"/>
        <v>2.2516436894999088</v>
      </c>
      <c r="L66" s="8">
        <f t="shared" si="3"/>
        <v>1.934055546572804</v>
      </c>
      <c r="M66" s="26"/>
    </row>
    <row r="67" spans="1:13" x14ac:dyDescent="0.25">
      <c r="A67" s="24" t="s">
        <v>16</v>
      </c>
      <c r="B67" s="4">
        <v>420</v>
      </c>
      <c r="C67" t="s">
        <v>31</v>
      </c>
      <c r="D67" s="4" t="s">
        <v>18</v>
      </c>
      <c r="E67" s="78">
        <v>93886.032140906667</v>
      </c>
      <c r="F67" s="78">
        <v>431.04161832512273</v>
      </c>
      <c r="G67" s="78">
        <f t="shared" si="1"/>
        <v>93454.990522581546</v>
      </c>
      <c r="H67">
        <v>462</v>
      </c>
      <c r="I67">
        <v>580.46399999999983</v>
      </c>
      <c r="J67" s="5">
        <f t="shared" si="2"/>
        <v>202.28352926965704</v>
      </c>
      <c r="K67" s="42">
        <f t="shared" si="4"/>
        <v>2.9531258050795204</v>
      </c>
      <c r="L67" s="8">
        <f t="shared" si="3"/>
        <v>0.7959149921442159</v>
      </c>
      <c r="M67" s="26"/>
    </row>
    <row r="68" spans="1:13" x14ac:dyDescent="0.25">
      <c r="A68" s="24" t="s">
        <v>16</v>
      </c>
      <c r="B68" s="4">
        <v>440</v>
      </c>
      <c r="C68" t="s">
        <v>31</v>
      </c>
      <c r="D68" s="4" t="s">
        <v>18</v>
      </c>
      <c r="E68" s="78">
        <v>140721.34128604011</v>
      </c>
      <c r="F68" s="78">
        <v>1587.7272111604427</v>
      </c>
      <c r="G68" s="78">
        <f t="shared" si="1"/>
        <v>139133.61407487968</v>
      </c>
      <c r="H68">
        <v>1564</v>
      </c>
      <c r="I68">
        <v>855.33600000000001</v>
      </c>
      <c r="J68" s="5">
        <f t="shared" si="2"/>
        <v>88.960111301073965</v>
      </c>
      <c r="K68" s="42">
        <f t="shared" si="4"/>
        <v>1.2987236343683615</v>
      </c>
      <c r="L68" s="8">
        <f t="shared" si="3"/>
        <v>1.8285211893337823</v>
      </c>
      <c r="M68" s="26"/>
    </row>
    <row r="69" spans="1:13" x14ac:dyDescent="0.25">
      <c r="A69" s="24" t="s">
        <v>16</v>
      </c>
      <c r="B69" s="4">
        <v>442</v>
      </c>
      <c r="C69" t="s">
        <v>31</v>
      </c>
      <c r="D69" s="4" t="s">
        <v>18</v>
      </c>
      <c r="E69" s="78">
        <v>260384.88259045687</v>
      </c>
      <c r="F69" s="78">
        <v>3639.6472096238103</v>
      </c>
      <c r="G69" s="78">
        <f t="shared" ref="G69:G93" si="5">E69-F69</f>
        <v>256745.23538083307</v>
      </c>
      <c r="H69">
        <v>3995</v>
      </c>
      <c r="I69">
        <v>1624.5959999999984</v>
      </c>
      <c r="J69" s="5">
        <f t="shared" ref="J69:J93" si="6">G69/H69</f>
        <v>64.266642147893137</v>
      </c>
      <c r="K69" s="42">
        <f t="shared" ref="K69:K83" si="7">+IF(D69="Weekday",J69/$G$98,IF(D69="Saturday",J69/$G$99,IF(D69="Sunday",J69/$G$100, "NA")))</f>
        <v>0.93822507456726922</v>
      </c>
      <c r="L69" s="8">
        <f t="shared" ref="L69:L93" si="8">H69/I69</f>
        <v>2.4590729018168234</v>
      </c>
      <c r="M69" s="26"/>
    </row>
    <row r="70" spans="1:13" x14ac:dyDescent="0.25">
      <c r="A70" s="24" t="s">
        <v>16</v>
      </c>
      <c r="B70" s="4">
        <v>444</v>
      </c>
      <c r="C70" t="s">
        <v>31</v>
      </c>
      <c r="D70" s="4" t="s">
        <v>18</v>
      </c>
      <c r="E70" s="78">
        <v>232286.43806838803</v>
      </c>
      <c r="F70" s="78">
        <v>11888.602341355218</v>
      </c>
      <c r="G70" s="78">
        <f t="shared" si="5"/>
        <v>220397.8357270328</v>
      </c>
      <c r="H70">
        <v>10901</v>
      </c>
      <c r="I70">
        <v>1388.8680000000002</v>
      </c>
      <c r="J70" s="5">
        <f t="shared" si="6"/>
        <v>20.218130054768626</v>
      </c>
      <c r="K70" s="42">
        <f t="shared" si="7"/>
        <v>0.29516333737482986</v>
      </c>
      <c r="L70" s="8">
        <f t="shared" si="8"/>
        <v>7.8488380465242189</v>
      </c>
      <c r="M70" s="26"/>
    </row>
    <row r="71" spans="1:13" x14ac:dyDescent="0.25">
      <c r="A71" s="24" t="s">
        <v>16</v>
      </c>
      <c r="B71" s="4">
        <v>445</v>
      </c>
      <c r="C71" t="s">
        <v>31</v>
      </c>
      <c r="D71" s="4" t="s">
        <v>18</v>
      </c>
      <c r="E71" s="78">
        <v>133635.34312027603</v>
      </c>
      <c r="F71" s="78">
        <v>3652.5476391814186</v>
      </c>
      <c r="G71" s="78">
        <f t="shared" si="5"/>
        <v>129982.79548109461</v>
      </c>
      <c r="H71">
        <v>3709</v>
      </c>
      <c r="I71">
        <v>885.39599999999984</v>
      </c>
      <c r="J71" s="5">
        <f t="shared" si="6"/>
        <v>35.045240086571745</v>
      </c>
      <c r="K71" s="42">
        <f t="shared" si="7"/>
        <v>0.51162347828576493</v>
      </c>
      <c r="L71" s="8">
        <f t="shared" si="8"/>
        <v>4.1890860134900096</v>
      </c>
      <c r="M71" s="26"/>
    </row>
    <row r="72" spans="1:13" x14ac:dyDescent="0.25">
      <c r="A72" s="24" t="s">
        <v>16</v>
      </c>
      <c r="B72" s="4">
        <v>447</v>
      </c>
      <c r="C72" t="s">
        <v>31</v>
      </c>
      <c r="D72" s="4" t="s">
        <v>18</v>
      </c>
      <c r="E72" s="78">
        <v>381335.12120097282</v>
      </c>
      <c r="F72" s="78">
        <v>1135.3249650156295</v>
      </c>
      <c r="G72" s="78">
        <f t="shared" si="5"/>
        <v>380199.79623595718</v>
      </c>
      <c r="H72">
        <v>1878</v>
      </c>
      <c r="I72">
        <v>2306.6240000000003</v>
      </c>
      <c r="J72" s="5">
        <f t="shared" si="6"/>
        <v>202.44930576994525</v>
      </c>
      <c r="K72" s="42">
        <f t="shared" si="7"/>
        <v>2.9555459668328994</v>
      </c>
      <c r="L72" s="8">
        <f t="shared" si="8"/>
        <v>0.81417690963069833</v>
      </c>
      <c r="M72" s="26"/>
    </row>
    <row r="73" spans="1:13" x14ac:dyDescent="0.25">
      <c r="A73" s="24" t="s">
        <v>16</v>
      </c>
      <c r="B73" s="4">
        <v>497</v>
      </c>
      <c r="C73" t="s">
        <v>31</v>
      </c>
      <c r="D73" s="4" t="s">
        <v>18</v>
      </c>
      <c r="E73" s="78">
        <v>62954.089735019777</v>
      </c>
      <c r="F73" s="78">
        <v>1063.9396197205292</v>
      </c>
      <c r="G73" s="78">
        <f t="shared" si="5"/>
        <v>61890.15011529925</v>
      </c>
      <c r="H73">
        <v>706</v>
      </c>
      <c r="I73">
        <v>360.59199999999993</v>
      </c>
      <c r="J73" s="5">
        <f t="shared" si="6"/>
        <v>87.66310214631622</v>
      </c>
      <c r="K73" s="42">
        <f t="shared" si="7"/>
        <v>1.2797886710613215</v>
      </c>
      <c r="L73" s="8">
        <f t="shared" si="8"/>
        <v>1.9578914673647783</v>
      </c>
      <c r="M73" s="26"/>
    </row>
    <row r="74" spans="1:13" x14ac:dyDescent="0.25">
      <c r="A74" s="24" t="s">
        <v>16</v>
      </c>
      <c r="B74" s="4">
        <v>499</v>
      </c>
      <c r="C74" t="s">
        <v>31</v>
      </c>
      <c r="D74" s="4" t="s">
        <v>18</v>
      </c>
      <c r="E74" s="78">
        <v>65468.403936860079</v>
      </c>
      <c r="F74" s="78">
        <v>482.04772755185849</v>
      </c>
      <c r="G74" s="78">
        <f t="shared" si="5"/>
        <v>64986.356209308222</v>
      </c>
      <c r="H74">
        <v>548</v>
      </c>
      <c r="I74">
        <v>351.94399999999996</v>
      </c>
      <c r="J74" s="5">
        <f t="shared" si="6"/>
        <v>118.58824125786172</v>
      </c>
      <c r="K74" s="42">
        <f t="shared" si="7"/>
        <v>1.7312630281961319</v>
      </c>
      <c r="L74" s="8">
        <f t="shared" si="8"/>
        <v>1.557065896847226</v>
      </c>
      <c r="M74" s="26"/>
    </row>
    <row r="75" spans="1:13" x14ac:dyDescent="0.25">
      <c r="A75" s="24" t="s">
        <v>79</v>
      </c>
      <c r="B75" s="4">
        <v>501</v>
      </c>
      <c r="C75" t="s">
        <v>31</v>
      </c>
      <c r="D75" s="4" t="s">
        <v>14</v>
      </c>
      <c r="E75" s="5">
        <v>2798.3581269341412</v>
      </c>
      <c r="F75" s="75">
        <v>36.832145851314692</v>
      </c>
      <c r="G75" s="78">
        <f t="shared" si="5"/>
        <v>2761.5259810828265</v>
      </c>
      <c r="H75" s="6">
        <v>24.430961058794352</v>
      </c>
      <c r="I75" s="7">
        <v>6.660000000000001</v>
      </c>
      <c r="J75" s="5">
        <f t="shared" si="6"/>
        <v>113.03386610281412</v>
      </c>
      <c r="K75" s="42">
        <f t="shared" si="7"/>
        <v>2.8616244387062948</v>
      </c>
      <c r="L75" s="8">
        <f t="shared" si="8"/>
        <v>3.6683124712904429</v>
      </c>
      <c r="M75" s="26"/>
    </row>
    <row r="76" spans="1:13" x14ac:dyDescent="0.25">
      <c r="A76" s="24" t="s">
        <v>79</v>
      </c>
      <c r="B76" s="4">
        <v>515</v>
      </c>
      <c r="C76" t="str">
        <f>VLOOKUP(B76,'[1]Route types'!A:B,2,FALSE)</f>
        <v>Suburban Local</v>
      </c>
      <c r="D76" s="4" t="s">
        <v>14</v>
      </c>
      <c r="E76" s="5">
        <v>3041033.052875259</v>
      </c>
      <c r="F76" s="75">
        <v>196795.66235429043</v>
      </c>
      <c r="G76" s="78">
        <f t="shared" si="5"/>
        <v>2844237.3905209685</v>
      </c>
      <c r="H76" s="6">
        <v>210213.54889115051</v>
      </c>
      <c r="I76" s="7">
        <v>12156.75000000004</v>
      </c>
      <c r="J76" s="5">
        <f t="shared" si="6"/>
        <v>13.530228691366259</v>
      </c>
      <c r="K76" s="42">
        <f t="shared" si="7"/>
        <v>0.34253834199814948</v>
      </c>
      <c r="L76" s="8">
        <f t="shared" si="8"/>
        <v>17.291920035465878</v>
      </c>
      <c r="M76" s="26"/>
    </row>
    <row r="77" spans="1:13" x14ac:dyDescent="0.25">
      <c r="A77" s="24" t="s">
        <v>79</v>
      </c>
      <c r="B77" s="4">
        <v>612</v>
      </c>
      <c r="C77" t="str">
        <f>VLOOKUP(B77,'[1]Route types'!A:B,2,FALSE)</f>
        <v>Suburban Local</v>
      </c>
      <c r="D77" s="4" t="s">
        <v>14</v>
      </c>
      <c r="E77" s="5">
        <v>2500756.8313015462</v>
      </c>
      <c r="F77" s="75">
        <v>128022.94128793885</v>
      </c>
      <c r="G77" s="78">
        <f t="shared" si="5"/>
        <v>2372733.8900136072</v>
      </c>
      <c r="H77" s="6">
        <v>131213.38076829343</v>
      </c>
      <c r="I77" s="7">
        <v>10391.94000000003</v>
      </c>
      <c r="J77" s="5">
        <f t="shared" si="6"/>
        <v>18.08301772365397</v>
      </c>
      <c r="K77" s="42">
        <f t="shared" si="7"/>
        <v>0.4577991289486556</v>
      </c>
      <c r="L77" s="8">
        <f t="shared" si="8"/>
        <v>12.626456731687544</v>
      </c>
      <c r="M77" s="26"/>
    </row>
    <row r="78" spans="1:13" x14ac:dyDescent="0.25">
      <c r="A78" s="24" t="s">
        <v>79</v>
      </c>
      <c r="B78" s="4">
        <v>721</v>
      </c>
      <c r="C78" t="str">
        <f>VLOOKUP(B78,'[1]Route types'!A:B,2,FALSE)</f>
        <v>Suburban Local</v>
      </c>
      <c r="D78" s="4" t="s">
        <v>14</v>
      </c>
      <c r="E78" s="5">
        <v>1512399.6514027757</v>
      </c>
      <c r="F78" s="75">
        <v>89644.176535202147</v>
      </c>
      <c r="G78" s="78">
        <f t="shared" si="5"/>
        <v>1422755.4748675735</v>
      </c>
      <c r="H78" s="6">
        <v>87887.726869767153</v>
      </c>
      <c r="I78" s="7">
        <v>6634.1000000000258</v>
      </c>
      <c r="J78" s="5">
        <f t="shared" si="6"/>
        <v>16.188329423695595</v>
      </c>
      <c r="K78" s="42">
        <f t="shared" si="7"/>
        <v>0.40983220956575056</v>
      </c>
      <c r="L78" s="8">
        <f t="shared" si="8"/>
        <v>13.247874899348338</v>
      </c>
      <c r="M78" s="26"/>
    </row>
    <row r="79" spans="1:13" x14ac:dyDescent="0.25">
      <c r="A79" s="24" t="s">
        <v>79</v>
      </c>
      <c r="B79" s="4">
        <v>722</v>
      </c>
      <c r="C79" t="str">
        <f>VLOOKUP(B79,'[1]Route types'!A:B,2,FALSE)</f>
        <v>Suburban Local</v>
      </c>
      <c r="D79" s="4" t="s">
        <v>14</v>
      </c>
      <c r="E79" s="5">
        <v>1421565.9284825483</v>
      </c>
      <c r="F79" s="75">
        <v>73710.762476576681</v>
      </c>
      <c r="G79" s="78">
        <f t="shared" si="5"/>
        <v>1347855.1660059716</v>
      </c>
      <c r="H79" s="6">
        <v>95169.21548098608</v>
      </c>
      <c r="I79" s="7">
        <v>6063.1599999999744</v>
      </c>
      <c r="J79" s="5">
        <f t="shared" si="6"/>
        <v>14.162722254185866</v>
      </c>
      <c r="K79" s="42">
        <f t="shared" si="7"/>
        <v>0.35855087964808424</v>
      </c>
      <c r="L79" s="8">
        <f t="shared" si="8"/>
        <v>15.696306130959183</v>
      </c>
      <c r="M79" s="26"/>
    </row>
    <row r="80" spans="1:13" x14ac:dyDescent="0.25">
      <c r="A80" s="24" t="s">
        <v>79</v>
      </c>
      <c r="B80" s="4">
        <v>723</v>
      </c>
      <c r="C80" t="str">
        <f>VLOOKUP(B80,'[1]Route types'!A:B,2,FALSE)</f>
        <v>Suburban Local</v>
      </c>
      <c r="D80" s="4" t="s">
        <v>14</v>
      </c>
      <c r="E80" s="5">
        <v>1174840.7473577019</v>
      </c>
      <c r="F80" s="75">
        <v>45169.840695022787</v>
      </c>
      <c r="G80" s="78">
        <f t="shared" si="5"/>
        <v>1129670.906662679</v>
      </c>
      <c r="H80" s="6">
        <v>50151.451975213764</v>
      </c>
      <c r="I80" s="7">
        <v>5338.8400000000211</v>
      </c>
      <c r="J80" s="5">
        <f t="shared" si="6"/>
        <v>22.525188447604542</v>
      </c>
      <c r="K80" s="42">
        <f t="shared" si="7"/>
        <v>0.57025944498349845</v>
      </c>
      <c r="L80" s="8">
        <f t="shared" si="8"/>
        <v>9.3936982519074483</v>
      </c>
      <c r="M80" s="26"/>
    </row>
    <row r="81" spans="1:13" x14ac:dyDescent="0.25">
      <c r="A81" s="24" t="s">
        <v>79</v>
      </c>
      <c r="B81" s="4">
        <v>724</v>
      </c>
      <c r="C81" t="str">
        <f>VLOOKUP(B81,'[1]Route types'!A:B,2,FALSE)</f>
        <v>Suburban Local</v>
      </c>
      <c r="D81" s="4" t="s">
        <v>14</v>
      </c>
      <c r="E81" s="5">
        <v>2048797.4468005819</v>
      </c>
      <c r="F81" s="75">
        <v>160332.9144405718</v>
      </c>
      <c r="G81" s="78">
        <f t="shared" si="5"/>
        <v>1888464.5323600101</v>
      </c>
      <c r="H81" s="6">
        <v>180528.86898901712</v>
      </c>
      <c r="I81" s="7">
        <v>8022.47</v>
      </c>
      <c r="J81" s="5">
        <f t="shared" si="6"/>
        <v>10.460734302140336</v>
      </c>
      <c r="K81" s="42">
        <f t="shared" si="7"/>
        <v>0.26482941757110051</v>
      </c>
      <c r="L81" s="8">
        <f t="shared" si="8"/>
        <v>22.502903593159854</v>
      </c>
      <c r="M81" s="26"/>
    </row>
    <row r="82" spans="1:13" x14ac:dyDescent="0.25">
      <c r="A82" s="24" t="s">
        <v>79</v>
      </c>
      <c r="B82" s="4">
        <v>515</v>
      </c>
      <c r="C82" t="str">
        <f>VLOOKUP(B82,'[1]Route types'!A:B,2,FALSE)</f>
        <v>Suburban Local</v>
      </c>
      <c r="D82" s="4" t="s">
        <v>17</v>
      </c>
      <c r="E82" s="5">
        <v>510880.36950697924</v>
      </c>
      <c r="F82" s="75">
        <v>28190.519559466597</v>
      </c>
      <c r="G82" s="78">
        <f t="shared" si="5"/>
        <v>482689.84994751267</v>
      </c>
      <c r="H82" s="6">
        <v>36548.717743956353</v>
      </c>
      <c r="I82" s="7">
        <v>1933.3500000000015</v>
      </c>
      <c r="J82" s="5">
        <f t="shared" si="6"/>
        <v>13.206751966758933</v>
      </c>
      <c r="K82" s="42">
        <f t="shared" si="7"/>
        <v>0.31112517600848205</v>
      </c>
      <c r="L82" s="8">
        <f t="shared" si="8"/>
        <v>18.90434620940664</v>
      </c>
      <c r="M82" s="26"/>
    </row>
    <row r="83" spans="1:13" x14ac:dyDescent="0.25">
      <c r="A83" s="24" t="s">
        <v>79</v>
      </c>
      <c r="B83" s="4">
        <v>612</v>
      </c>
      <c r="C83" t="str">
        <f>VLOOKUP(B83,'[1]Route types'!A:B,2,FALSE)</f>
        <v>Suburban Local</v>
      </c>
      <c r="D83" s="4" t="s">
        <v>17</v>
      </c>
      <c r="E83" s="5">
        <v>465420.95991159731</v>
      </c>
      <c r="F83" s="75">
        <v>18318.11332911484</v>
      </c>
      <c r="G83" s="78">
        <f t="shared" si="5"/>
        <v>447102.84658248245</v>
      </c>
      <c r="H83" s="6">
        <v>20086.498853121793</v>
      </c>
      <c r="I83" s="7">
        <v>1949.6200000000003</v>
      </c>
      <c r="J83" s="5">
        <f t="shared" si="6"/>
        <v>22.258873975590568</v>
      </c>
      <c r="K83" s="42">
        <f t="shared" si="7"/>
        <v>0.52437541803140042</v>
      </c>
      <c r="L83" s="8">
        <f t="shared" si="8"/>
        <v>10.302776363148608</v>
      </c>
      <c r="M83" s="26"/>
    </row>
    <row r="84" spans="1:13" x14ac:dyDescent="0.25">
      <c r="A84" s="24" t="s">
        <v>79</v>
      </c>
      <c r="B84" s="4">
        <v>721</v>
      </c>
      <c r="C84" t="str">
        <f>VLOOKUP(B84,'[1]Route types'!A:B,2,FALSE)</f>
        <v>Suburban Local</v>
      </c>
      <c r="D84" s="4" t="s">
        <v>17</v>
      </c>
      <c r="E84" s="5">
        <v>186756.85740466556</v>
      </c>
      <c r="F84" s="75">
        <v>8093.6487550098254</v>
      </c>
      <c r="G84" s="78">
        <f t="shared" si="5"/>
        <v>178663.20864965572</v>
      </c>
      <c r="H84" s="6">
        <v>10391.656175573267</v>
      </c>
      <c r="I84" s="7">
        <v>841.5</v>
      </c>
      <c r="J84" s="5">
        <f t="shared" si="6"/>
        <v>17.192948422372101</v>
      </c>
      <c r="K84" s="42">
        <f t="shared" ref="K84:K93" si="9">+IF(D84="Weekday",J84/$G$98,IF(D84="Saturday",J84/$G$99,IF(D84="Sunday",J84/$G$100, "NA")))</f>
        <v>0.40503214700169837</v>
      </c>
      <c r="L84" s="8">
        <f t="shared" si="8"/>
        <v>12.348967528904655</v>
      </c>
      <c r="M84" s="26"/>
    </row>
    <row r="85" spans="1:13" x14ac:dyDescent="0.25">
      <c r="A85" s="24" t="s">
        <v>79</v>
      </c>
      <c r="B85" s="4">
        <v>722</v>
      </c>
      <c r="C85" t="str">
        <f>VLOOKUP(B85,'[1]Route types'!A:B,2,FALSE)</f>
        <v>Suburban Local</v>
      </c>
      <c r="D85" s="4" t="s">
        <v>17</v>
      </c>
      <c r="E85" s="5">
        <v>281716.11297870503</v>
      </c>
      <c r="F85" s="75">
        <v>11081.391607731173</v>
      </c>
      <c r="G85" s="78">
        <f t="shared" si="5"/>
        <v>270634.72137097386</v>
      </c>
      <c r="H85" s="6">
        <v>15926.862178937499</v>
      </c>
      <c r="I85" s="7">
        <v>1154.7300000000005</v>
      </c>
      <c r="J85" s="5">
        <f t="shared" si="6"/>
        <v>16.992344024228146</v>
      </c>
      <c r="K85" s="42">
        <f t="shared" si="9"/>
        <v>0.40030630079532564</v>
      </c>
      <c r="L85" s="8">
        <f t="shared" si="8"/>
        <v>13.792715335132449</v>
      </c>
      <c r="M85" s="26"/>
    </row>
    <row r="86" spans="1:13" x14ac:dyDescent="0.25">
      <c r="A86" s="24" t="s">
        <v>79</v>
      </c>
      <c r="B86" s="4">
        <v>723</v>
      </c>
      <c r="C86" t="str">
        <f>VLOOKUP(B86,'[1]Route types'!A:B,2,FALSE)</f>
        <v>Suburban Local</v>
      </c>
      <c r="D86" s="4" t="s">
        <v>17</v>
      </c>
      <c r="E86" s="5">
        <v>102490.27551564814</v>
      </c>
      <c r="F86" s="75">
        <v>4621.8049781069221</v>
      </c>
      <c r="G86" s="78">
        <f t="shared" si="5"/>
        <v>97868.470537541216</v>
      </c>
      <c r="H86" s="6">
        <v>5347.1938247813378</v>
      </c>
      <c r="I86" s="7">
        <v>438.75000000000023</v>
      </c>
      <c r="J86" s="5">
        <f t="shared" si="6"/>
        <v>18.302772209971899</v>
      </c>
      <c r="K86" s="42">
        <f t="shared" si="9"/>
        <v>0.4311774189144657</v>
      </c>
      <c r="L86" s="8">
        <f t="shared" si="8"/>
        <v>12.187336352777972</v>
      </c>
      <c r="M86" s="26"/>
    </row>
    <row r="87" spans="1:13" x14ac:dyDescent="0.25">
      <c r="A87" s="24" t="s">
        <v>79</v>
      </c>
      <c r="B87" s="4">
        <v>724</v>
      </c>
      <c r="C87" t="str">
        <f>VLOOKUP(B87,'[1]Route types'!A:B,2,FALSE)</f>
        <v>Suburban Local</v>
      </c>
      <c r="D87" s="4" t="s">
        <v>17</v>
      </c>
      <c r="E87" s="5">
        <v>302149.03670554666</v>
      </c>
      <c r="F87" s="75">
        <v>20108.563023418563</v>
      </c>
      <c r="G87" s="78">
        <f t="shared" si="5"/>
        <v>282040.47368212813</v>
      </c>
      <c r="H87" s="6">
        <v>27876.788783782566</v>
      </c>
      <c r="I87" s="7">
        <v>1145.9700000000009</v>
      </c>
      <c r="J87" s="5">
        <f t="shared" si="6"/>
        <v>10.117394649350944</v>
      </c>
      <c r="K87" s="42">
        <f t="shared" si="9"/>
        <v>0.23834597628163695</v>
      </c>
      <c r="L87" s="8">
        <f t="shared" si="8"/>
        <v>24.325932427360701</v>
      </c>
      <c r="M87" s="26"/>
    </row>
    <row r="88" spans="1:13" x14ac:dyDescent="0.25">
      <c r="A88" s="24" t="s">
        <v>79</v>
      </c>
      <c r="B88" s="4">
        <v>515</v>
      </c>
      <c r="C88" t="str">
        <f>VLOOKUP(B88,'[1]Route types'!A:B,2,FALSE)</f>
        <v>Suburban Local</v>
      </c>
      <c r="D88" s="4" t="s">
        <v>18</v>
      </c>
      <c r="E88" s="5">
        <v>462969.53273373324</v>
      </c>
      <c r="F88" s="75">
        <v>21586.999395852341</v>
      </c>
      <c r="G88" s="78">
        <f t="shared" si="5"/>
        <v>441382.53333788092</v>
      </c>
      <c r="H88" s="6">
        <v>27587.866113869863</v>
      </c>
      <c r="I88" s="7">
        <v>1761.9499999999982</v>
      </c>
      <c r="J88" s="5">
        <f t="shared" si="6"/>
        <v>15.999154538305334</v>
      </c>
      <c r="K88" s="42">
        <f t="shared" si="9"/>
        <v>0.23357075238459282</v>
      </c>
      <c r="L88" s="8">
        <f t="shared" si="8"/>
        <v>15.657576045784438</v>
      </c>
      <c r="M88" s="26"/>
    </row>
    <row r="89" spans="1:13" x14ac:dyDescent="0.25">
      <c r="A89" s="24" t="s">
        <v>79</v>
      </c>
      <c r="B89" s="4">
        <v>612</v>
      </c>
      <c r="C89" t="str">
        <f>VLOOKUP(B89,'[1]Route types'!A:B,2,FALSE)</f>
        <v>Suburban Local</v>
      </c>
      <c r="D89" s="4" t="s">
        <v>18</v>
      </c>
      <c r="E89" s="5">
        <v>330086.79690614331</v>
      </c>
      <c r="F89" s="75">
        <v>10811.510021043665</v>
      </c>
      <c r="G89" s="78">
        <f t="shared" si="5"/>
        <v>319275.28688509966</v>
      </c>
      <c r="H89" s="6">
        <v>13199.092265938199</v>
      </c>
      <c r="I89" s="7">
        <v>1326.5000000000014</v>
      </c>
      <c r="J89" s="5">
        <f t="shared" si="6"/>
        <v>24.189185169121583</v>
      </c>
      <c r="K89" s="42">
        <f t="shared" si="9"/>
        <v>0.35313654643405995</v>
      </c>
      <c r="L89" s="8">
        <f t="shared" si="8"/>
        <v>9.9503145615817452</v>
      </c>
      <c r="M89" s="26"/>
    </row>
    <row r="90" spans="1:13" x14ac:dyDescent="0.25">
      <c r="A90" s="24" t="s">
        <v>79</v>
      </c>
      <c r="B90" s="4">
        <v>721</v>
      </c>
      <c r="C90" t="str">
        <f>VLOOKUP(B90,'[1]Route types'!A:B,2,FALSE)</f>
        <v>Suburban Local</v>
      </c>
      <c r="D90" s="4" t="s">
        <v>18</v>
      </c>
      <c r="E90" s="5">
        <v>217902.0924174203</v>
      </c>
      <c r="F90" s="75">
        <v>6669.3841222701385</v>
      </c>
      <c r="G90" s="78">
        <f t="shared" si="5"/>
        <v>211232.70829515017</v>
      </c>
      <c r="H90" s="6">
        <v>9422.9154588071615</v>
      </c>
      <c r="I90" s="7">
        <v>940.5</v>
      </c>
      <c r="J90" s="5">
        <f t="shared" si="6"/>
        <v>22.416916422371248</v>
      </c>
      <c r="K90" s="42">
        <f t="shared" si="9"/>
        <v>0.32726329521849779</v>
      </c>
      <c r="L90" s="8">
        <f t="shared" si="8"/>
        <v>10.019048866355302</v>
      </c>
      <c r="M90" s="26"/>
    </row>
    <row r="91" spans="1:13" x14ac:dyDescent="0.25">
      <c r="A91" s="24" t="s">
        <v>79</v>
      </c>
      <c r="B91" s="4">
        <v>722</v>
      </c>
      <c r="C91" t="str">
        <f>VLOOKUP(B91,'[1]Route types'!A:B,2,FALSE)</f>
        <v>Suburban Local</v>
      </c>
      <c r="D91" s="4" t="s">
        <v>18</v>
      </c>
      <c r="E91" s="5">
        <v>283661.87193363172</v>
      </c>
      <c r="F91" s="75">
        <v>8382.7413530226622</v>
      </c>
      <c r="G91" s="78">
        <f t="shared" si="5"/>
        <v>275279.13058060908</v>
      </c>
      <c r="H91" s="6">
        <v>12276.026824195058</v>
      </c>
      <c r="I91" s="7">
        <v>1206.1899999999998</v>
      </c>
      <c r="J91" s="5">
        <f t="shared" si="6"/>
        <v>22.42412260276722</v>
      </c>
      <c r="K91" s="42">
        <f t="shared" si="9"/>
        <v>0.32736849783860356</v>
      </c>
      <c r="L91" s="8">
        <f t="shared" si="8"/>
        <v>10.177523295828236</v>
      </c>
      <c r="M91" s="26"/>
    </row>
    <row r="92" spans="1:13" x14ac:dyDescent="0.25">
      <c r="A92" s="24" t="s">
        <v>79</v>
      </c>
      <c r="B92" s="4">
        <v>723</v>
      </c>
      <c r="C92" t="str">
        <f>VLOOKUP(B92,'[1]Route types'!A:B,2,FALSE)</f>
        <v>Suburban Local</v>
      </c>
      <c r="D92" s="4" t="s">
        <v>18</v>
      </c>
      <c r="E92" s="5">
        <v>101910.96628937052</v>
      </c>
      <c r="F92" s="75">
        <v>3302.1906734402833</v>
      </c>
      <c r="G92" s="78">
        <f t="shared" si="5"/>
        <v>98608.775615930237</v>
      </c>
      <c r="H92" s="6">
        <v>3856.9052001948821</v>
      </c>
      <c r="I92" s="7">
        <v>442.56999999999971</v>
      </c>
      <c r="J92" s="5">
        <f t="shared" si="6"/>
        <v>25.56681341583084</v>
      </c>
      <c r="K92" s="42">
        <f t="shared" si="9"/>
        <v>0.37324846330565181</v>
      </c>
      <c r="L92" s="8">
        <f t="shared" si="8"/>
        <v>8.714791332884932</v>
      </c>
      <c r="M92" s="26"/>
    </row>
    <row r="93" spans="1:13" ht="15.75" thickBot="1" x14ac:dyDescent="0.3">
      <c r="A93" s="28" t="s">
        <v>79</v>
      </c>
      <c r="B93" s="29">
        <v>724</v>
      </c>
      <c r="C93" s="34" t="str">
        <f>VLOOKUP(B93,'[1]Route types'!A:B,2,FALSE)</f>
        <v>Suburban Local</v>
      </c>
      <c r="D93" s="29" t="s">
        <v>18</v>
      </c>
      <c r="E93" s="30">
        <v>315528.78877912211</v>
      </c>
      <c r="F93" s="81">
        <v>15894.329587308426</v>
      </c>
      <c r="G93" s="99">
        <f t="shared" si="5"/>
        <v>299634.45919181372</v>
      </c>
      <c r="H93" s="31">
        <v>24198.335820886703</v>
      </c>
      <c r="I93" s="37">
        <v>1187.3100000000002</v>
      </c>
      <c r="J93" s="30">
        <f t="shared" si="6"/>
        <v>12.382440735167638</v>
      </c>
      <c r="K93" s="43">
        <f t="shared" si="9"/>
        <v>0.18077055209050327</v>
      </c>
      <c r="L93" s="33">
        <f t="shared" si="8"/>
        <v>20.380806883532269</v>
      </c>
      <c r="M93" s="35"/>
    </row>
    <row r="96" spans="1:13" ht="15.75" thickBot="1" x14ac:dyDescent="0.3"/>
    <row r="97" spans="3:10" ht="36" x14ac:dyDescent="0.25">
      <c r="F97" s="70" t="s">
        <v>20</v>
      </c>
      <c r="G97" s="58" t="s">
        <v>21</v>
      </c>
      <c r="H97" s="58" t="s">
        <v>22</v>
      </c>
      <c r="I97" s="58" t="s">
        <v>23</v>
      </c>
      <c r="J97" s="59" t="s">
        <v>24</v>
      </c>
    </row>
    <row r="98" spans="3:10" x14ac:dyDescent="0.25">
      <c r="F98" s="24" t="s">
        <v>14</v>
      </c>
      <c r="G98" s="11">
        <f>AVERAGEIF($D$5:$D$83,"Weekday",J5:J83)</f>
        <v>39.499895434886398</v>
      </c>
      <c r="H98" s="50">
        <f>G98*1.2</f>
        <v>47.399874521863673</v>
      </c>
      <c r="I98" s="51">
        <f>G98*1.35</f>
        <v>53.324858837096642</v>
      </c>
      <c r="J98" s="52">
        <f>G98*1.6</f>
        <v>63.199832695818237</v>
      </c>
    </row>
    <row r="99" spans="3:10" x14ac:dyDescent="0.25">
      <c r="F99" s="24" t="s">
        <v>17</v>
      </c>
      <c r="G99" s="11">
        <f>AVERAGEIF($D$5:$D$83,"Saturday",J5:J83)</f>
        <v>42.448355148214958</v>
      </c>
      <c r="H99" s="50">
        <f>G99*1.2</f>
        <v>50.93802617785795</v>
      </c>
      <c r="I99" s="51">
        <f>G99*1.35</f>
        <v>57.305279450090197</v>
      </c>
      <c r="J99" s="52">
        <f>G99*1.6</f>
        <v>67.917368237143933</v>
      </c>
    </row>
    <row r="100" spans="3:10" ht="15.75" thickBot="1" x14ac:dyDescent="0.3">
      <c r="F100" s="28" t="s">
        <v>18</v>
      </c>
      <c r="G100" s="47">
        <f>AVERAGEIF($D$5:$D$83,"Sunday",J5:J83)</f>
        <v>68.498107639613423</v>
      </c>
      <c r="H100" s="53">
        <f>G100*1.2</f>
        <v>82.19772916753611</v>
      </c>
      <c r="I100" s="54">
        <f>G100*1.35</f>
        <v>92.472445313478133</v>
      </c>
      <c r="J100" s="55">
        <f>G100*1.6</f>
        <v>109.59697222338148</v>
      </c>
    </row>
    <row r="104" spans="3:10" hidden="1" x14ac:dyDescent="0.25">
      <c r="C104" t="s">
        <v>14</v>
      </c>
      <c r="D104">
        <f>COUNTIF($D$5:$D$93,C104)</f>
        <v>41</v>
      </c>
    </row>
    <row r="105" spans="3:10" hidden="1" x14ac:dyDescent="0.25">
      <c r="C105" t="s">
        <v>17</v>
      </c>
      <c r="D105">
        <f t="shared" ref="D105:D106" si="10">COUNTIF($D$5:$D$93,C105)</f>
        <v>27</v>
      </c>
    </row>
    <row r="106" spans="3:10" hidden="1" x14ac:dyDescent="0.25">
      <c r="C106" t="s">
        <v>18</v>
      </c>
      <c r="D106">
        <f t="shared" si="10"/>
        <v>21</v>
      </c>
    </row>
  </sheetData>
  <mergeCells count="1">
    <mergeCell ref="A2:M2"/>
  </mergeCells>
  <conditionalFormatting sqref="K1">
    <cfRule type="cellIs" dxfId="16" priority="25" operator="greaterThan">
      <formula>1.6</formula>
    </cfRule>
  </conditionalFormatting>
  <conditionalFormatting sqref="K5:K93">
    <cfRule type="cellIs" dxfId="15" priority="2" operator="greaterThan">
      <formula>1.6</formula>
    </cfRule>
    <cfRule type="cellIs" dxfId="14" priority="3" operator="between">
      <formula>1.35</formula>
      <formula>1.6</formula>
    </cfRule>
    <cfRule type="cellIs" dxfId="13" priority="4" operator="between">
      <formula>1.2</formula>
      <formula>1.35</formula>
    </cfRule>
  </conditionalFormatting>
  <conditionalFormatting sqref="L5:L93">
    <cfRule type="cellIs" dxfId="12" priority="1" operator="lessThan">
      <formula>10</formula>
    </cfRule>
  </conditionalFormatting>
  <pageMargins left="0.7" right="0.7" top="0.75" bottom="0.75" header="0.3" footer="0.3"/>
  <pageSetup scale="62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C4B9B-AA23-4677-A55F-210C2BF05058}">
  <sheetPr>
    <pageSetUpPr fitToPage="1"/>
  </sheetPr>
  <dimension ref="A1:Q16"/>
  <sheetViews>
    <sheetView tabSelected="1" workbookViewId="0">
      <selection activeCell="K9" sqref="K9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2.7109375" bestFit="1" customWidth="1"/>
    <col min="6" max="6" width="11.7109375" customWidth="1"/>
    <col min="7" max="7" width="12.7109375" bestFit="1" customWidth="1"/>
    <col min="8" max="10" width="11.7109375" customWidth="1"/>
    <col min="11" max="11" width="14.140625" customWidth="1"/>
    <col min="12" max="12" width="11.7109375" customWidth="1"/>
    <col min="13" max="13" width="35.7109375" customWidth="1"/>
    <col min="14" max="14" width="14.7109375" bestFit="1" customWidth="1"/>
    <col min="15" max="15" width="13.7109375" bestFit="1" customWidth="1"/>
  </cols>
  <sheetData>
    <row r="1" spans="1:17" ht="18.75" x14ac:dyDescent="0.3">
      <c r="A1" s="15" t="s">
        <v>33</v>
      </c>
    </row>
    <row r="2" spans="1:17" ht="46.5" x14ac:dyDescent="0.7">
      <c r="A2" s="148" t="s">
        <v>62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7" ht="15" customHeight="1" thickBot="1" x14ac:dyDescent="0.75">
      <c r="A3" s="56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ht="48" x14ac:dyDescent="0.25">
      <c r="A4" s="17" t="s">
        <v>2</v>
      </c>
      <c r="B4" s="18" t="s">
        <v>3</v>
      </c>
      <c r="C4" s="19" t="s">
        <v>4</v>
      </c>
      <c r="D4" s="19" t="s">
        <v>5</v>
      </c>
      <c r="E4" s="20" t="s">
        <v>6</v>
      </c>
      <c r="F4" s="71" t="s">
        <v>7</v>
      </c>
      <c r="G4" s="20" t="s">
        <v>8</v>
      </c>
      <c r="H4" s="21" t="s">
        <v>9</v>
      </c>
      <c r="I4" s="21" t="s">
        <v>10</v>
      </c>
      <c r="J4" s="22" t="s">
        <v>11</v>
      </c>
      <c r="K4" s="23" t="s">
        <v>12</v>
      </c>
      <c r="L4" s="23" t="s">
        <v>13</v>
      </c>
      <c r="M4" s="57" t="s">
        <v>90</v>
      </c>
    </row>
    <row r="5" spans="1:17" x14ac:dyDescent="0.25">
      <c r="A5" t="s">
        <v>79</v>
      </c>
      <c r="B5" s="4">
        <v>921</v>
      </c>
      <c r="C5" t="str">
        <f>VLOOKUP(B5,'[1]Route types'!A:B,2,FALSE)</f>
        <v>BRT - Arterial</v>
      </c>
      <c r="D5" s="4" t="s">
        <v>14</v>
      </c>
      <c r="E5" s="5">
        <v>6648625.6196498228</v>
      </c>
      <c r="F5" s="75">
        <v>744324.99432109739</v>
      </c>
      <c r="G5" s="5">
        <f>E5-F5</f>
        <v>5904300.6253287252</v>
      </c>
      <c r="H5" s="6">
        <v>711937</v>
      </c>
      <c r="I5" s="7">
        <v>26912.650000000103</v>
      </c>
      <c r="J5" s="5">
        <f>G5/H5</f>
        <v>8.2932908745137919</v>
      </c>
      <c r="K5" s="25">
        <f>J5/G14</f>
        <v>1.0726981962970932</v>
      </c>
      <c r="L5" s="39">
        <f>H5/I5</f>
        <v>26.453619394596863</v>
      </c>
      <c r="M5" s="26"/>
    </row>
    <row r="6" spans="1:17" x14ac:dyDescent="0.25">
      <c r="A6" t="s">
        <v>79</v>
      </c>
      <c r="B6" s="4">
        <v>923</v>
      </c>
      <c r="C6" t="str">
        <f>VLOOKUP(B6,'[1]Route types'!A:B,2,FALSE)</f>
        <v>BRT - Arterial</v>
      </c>
      <c r="D6" s="4" t="s">
        <v>14</v>
      </c>
      <c r="E6" s="5">
        <v>7334293.7288185144</v>
      </c>
      <c r="F6" s="75">
        <v>464390.18239735533</v>
      </c>
      <c r="G6" s="5">
        <f t="shared" ref="G6:G10" si="0">E6-F6</f>
        <v>6869903.5464211591</v>
      </c>
      <c r="H6" s="6">
        <v>958253</v>
      </c>
      <c r="I6" s="7">
        <v>28792.670000000071</v>
      </c>
      <c r="J6" s="5">
        <f t="shared" ref="J6:J10" si="1">G6/H6</f>
        <v>7.16919597060605</v>
      </c>
      <c r="K6" s="25">
        <f>J6/G15</f>
        <v>0.8723971203878963</v>
      </c>
      <c r="L6" s="39">
        <f t="shared" ref="L6:L10" si="2">H6/I6</f>
        <v>33.281144124528836</v>
      </c>
      <c r="M6" s="26"/>
    </row>
    <row r="7" spans="1:17" x14ac:dyDescent="0.25">
      <c r="A7" t="s">
        <v>79</v>
      </c>
      <c r="B7" s="4">
        <v>921</v>
      </c>
      <c r="C7" t="str">
        <f>VLOOKUP(B7,'[1]Route types'!A:B,2,FALSE)</f>
        <v>BRT - Arterial</v>
      </c>
      <c r="D7" s="4" t="s">
        <v>17</v>
      </c>
      <c r="E7" s="5">
        <v>1280919.7944361379</v>
      </c>
      <c r="F7" s="75">
        <v>134087.68144230996</v>
      </c>
      <c r="G7" s="5">
        <f t="shared" si="0"/>
        <v>1146832.112993828</v>
      </c>
      <c r="H7" s="6">
        <v>135870</v>
      </c>
      <c r="I7" s="7">
        <v>5090.0399999999972</v>
      </c>
      <c r="J7" s="5">
        <f t="shared" si="1"/>
        <v>8.4406573415310806</v>
      </c>
      <c r="K7" s="25">
        <f>J7/G16</f>
        <v>0.86545085736893812</v>
      </c>
      <c r="L7" s="39">
        <f t="shared" si="2"/>
        <v>26.69330692882572</v>
      </c>
      <c r="M7" s="26"/>
    </row>
    <row r="8" spans="1:17" x14ac:dyDescent="0.25">
      <c r="A8" t="s">
        <v>79</v>
      </c>
      <c r="B8" s="4">
        <v>923</v>
      </c>
      <c r="C8" t="str">
        <f>VLOOKUP(B8,'[1]Route types'!A:B,2,FALSE)</f>
        <v>BRT - Arterial</v>
      </c>
      <c r="D8" s="4" t="s">
        <v>17</v>
      </c>
      <c r="E8" s="5">
        <v>1265921.5767558145</v>
      </c>
      <c r="F8" s="75">
        <v>57098.453361978689</v>
      </c>
      <c r="G8" s="5">
        <f t="shared" si="0"/>
        <v>1208823.1233938357</v>
      </c>
      <c r="H8" s="6">
        <v>151198</v>
      </c>
      <c r="I8" s="7">
        <v>4874.909999999998</v>
      </c>
      <c r="J8" s="5">
        <f t="shared" si="1"/>
        <v>7.9949676807486592</v>
      </c>
      <c r="K8" s="25">
        <f>J8/G14</f>
        <v>1.0341114932973376</v>
      </c>
      <c r="L8" s="39">
        <f t="shared" si="2"/>
        <v>31.015546953687362</v>
      </c>
      <c r="M8" s="26"/>
    </row>
    <row r="9" spans="1:17" x14ac:dyDescent="0.25">
      <c r="A9" t="s">
        <v>79</v>
      </c>
      <c r="B9" s="4">
        <v>921</v>
      </c>
      <c r="C9" t="str">
        <f>VLOOKUP(B9,'[1]Route types'!A:B,2,FALSE)</f>
        <v>BRT - Arterial</v>
      </c>
      <c r="D9" s="4" t="s">
        <v>18</v>
      </c>
      <c r="E9" s="5">
        <v>1254016.2812157876</v>
      </c>
      <c r="F9" s="75">
        <v>102193.40511436194</v>
      </c>
      <c r="G9" s="5">
        <f t="shared" si="0"/>
        <v>1151822.8761014256</v>
      </c>
      <c r="H9" s="6">
        <v>115661</v>
      </c>
      <c r="I9" s="7">
        <v>5188.8900000000049</v>
      </c>
      <c r="J9" s="5">
        <f t="shared" si="1"/>
        <v>9.9586107339675909</v>
      </c>
      <c r="K9" s="25">
        <f>J9/G15</f>
        <v>1.2118323118795831</v>
      </c>
      <c r="L9" s="39">
        <f t="shared" si="2"/>
        <v>22.290123706611606</v>
      </c>
      <c r="M9" s="26"/>
    </row>
    <row r="10" spans="1:17" ht="15.75" thickBot="1" x14ac:dyDescent="0.3">
      <c r="A10" t="s">
        <v>79</v>
      </c>
      <c r="B10" s="4">
        <v>923</v>
      </c>
      <c r="C10" t="str">
        <f>VLOOKUP(B10,'[1]Route types'!A:B,2,FALSE)</f>
        <v>BRT - Arterial</v>
      </c>
      <c r="D10" s="4" t="s">
        <v>18</v>
      </c>
      <c r="E10" s="5">
        <v>1407222.2974985796</v>
      </c>
      <c r="F10" s="75">
        <v>48141.165795322602</v>
      </c>
      <c r="G10" s="5">
        <f t="shared" si="0"/>
        <v>1359081.1317032571</v>
      </c>
      <c r="H10" s="6">
        <v>142354</v>
      </c>
      <c r="I10" s="7">
        <v>5345.34</v>
      </c>
      <c r="J10" s="5">
        <f t="shared" si="1"/>
        <v>9.547193136148314</v>
      </c>
      <c r="K10" s="32">
        <f>J10/G16</f>
        <v>0.9789079393723632</v>
      </c>
      <c r="L10" s="39">
        <f t="shared" si="2"/>
        <v>26.631421013443486</v>
      </c>
      <c r="M10" s="44"/>
      <c r="N10" s="10"/>
      <c r="O10" s="10"/>
      <c r="P10" s="10"/>
      <c r="Q10" s="10"/>
    </row>
    <row r="11" spans="1:17" x14ac:dyDescent="0.25">
      <c r="N11" s="11"/>
      <c r="O11" s="12"/>
      <c r="P11" s="11"/>
      <c r="Q11" s="13"/>
    </row>
    <row r="12" spans="1:17" ht="15.75" thickBot="1" x14ac:dyDescent="0.3">
      <c r="N12" s="11"/>
      <c r="O12" s="12"/>
      <c r="P12" s="11"/>
      <c r="Q12" s="13"/>
    </row>
    <row r="13" spans="1:17" ht="36" x14ac:dyDescent="0.25">
      <c r="F13" s="70" t="s">
        <v>20</v>
      </c>
      <c r="G13" s="58" t="s">
        <v>21</v>
      </c>
      <c r="H13" s="58" t="s">
        <v>22</v>
      </c>
      <c r="I13" s="58" t="s">
        <v>23</v>
      </c>
      <c r="J13" s="59" t="s">
        <v>24</v>
      </c>
      <c r="N13" s="11"/>
      <c r="O13" s="12"/>
      <c r="P13" s="11"/>
    </row>
    <row r="14" spans="1:17" x14ac:dyDescent="0.25">
      <c r="F14" s="60" t="s">
        <v>14</v>
      </c>
      <c r="G14" s="61">
        <f>AVERAGEIF($D$5:$D$10,"Weekday",J5:J10)</f>
        <v>7.7312434225599205</v>
      </c>
      <c r="H14" s="62">
        <f>G14*1.2</f>
        <v>9.2774921070719039</v>
      </c>
      <c r="I14" s="63">
        <f>G14*1.35</f>
        <v>10.437178620455894</v>
      </c>
      <c r="J14" s="64">
        <f>G14*1.6</f>
        <v>12.369989476095874</v>
      </c>
      <c r="N14" s="11"/>
      <c r="O14" s="12"/>
      <c r="P14" s="11"/>
    </row>
    <row r="15" spans="1:17" x14ac:dyDescent="0.25">
      <c r="F15" s="60" t="s">
        <v>17</v>
      </c>
      <c r="G15" s="61">
        <f>AVERAGEIF($D$5:$D$10,"Saturday",J5:J10)</f>
        <v>8.2178125111398703</v>
      </c>
      <c r="H15" s="62">
        <f>G15*1.2</f>
        <v>9.8613750133678444</v>
      </c>
      <c r="I15" s="63">
        <f>G15*1.35</f>
        <v>11.094046890038825</v>
      </c>
      <c r="J15" s="64">
        <f>G15*1.6</f>
        <v>13.148500017823793</v>
      </c>
    </row>
    <row r="16" spans="1:17" ht="15.75" thickBot="1" x14ac:dyDescent="0.3">
      <c r="F16" s="65" t="s">
        <v>18</v>
      </c>
      <c r="G16" s="66">
        <f>AVERAGEIF($D$5:$D$10,"Sunday",J5:J10)</f>
        <v>9.7529019350579524</v>
      </c>
      <c r="H16" s="67">
        <f>G16*1.2</f>
        <v>11.703482322069542</v>
      </c>
      <c r="I16" s="68">
        <f>G16*1.35</f>
        <v>13.166417612328237</v>
      </c>
      <c r="J16" s="69">
        <f>G16*1.6</f>
        <v>15.604643096092724</v>
      </c>
    </row>
  </sheetData>
  <mergeCells count="1">
    <mergeCell ref="A2:M2"/>
  </mergeCells>
  <conditionalFormatting sqref="K1">
    <cfRule type="cellIs" dxfId="11" priority="6" operator="greaterThan">
      <formula>1.6</formula>
    </cfRule>
  </conditionalFormatting>
  <conditionalFormatting sqref="L5:L10">
    <cfRule type="cellIs" dxfId="10" priority="1" operator="lessThan">
      <formula>25</formula>
    </cfRule>
  </conditionalFormatting>
  <pageMargins left="0.7" right="0.7" top="0.75" bottom="0.75" header="0.3" footer="0.3"/>
  <pageSetup scale="63" fitToHeight="0" orientation="landscape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26F06-8F2B-42F3-8C4E-44A5D5DB3119}">
  <sheetPr>
    <pageSetUpPr fitToPage="1"/>
  </sheetPr>
  <dimension ref="A1:O15"/>
  <sheetViews>
    <sheetView workbookViewId="0">
      <selection activeCell="H6" sqref="H6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2.7109375" bestFit="1" customWidth="1"/>
    <col min="6" max="6" width="11.7109375" customWidth="1"/>
    <col min="7" max="7" width="12.7109375" bestFit="1" customWidth="1"/>
    <col min="8" max="10" width="11.7109375" customWidth="1"/>
    <col min="11" max="11" width="14.140625" customWidth="1"/>
    <col min="12" max="12" width="11.7109375" customWidth="1"/>
    <col min="13" max="13" width="35.7109375" customWidth="1"/>
    <col min="14" max="14" width="14.7109375" bestFit="1" customWidth="1"/>
    <col min="15" max="15" width="13.7109375" bestFit="1" customWidth="1"/>
  </cols>
  <sheetData>
    <row r="1" spans="1:15" ht="18.75" x14ac:dyDescent="0.3">
      <c r="A1" s="15" t="s">
        <v>34</v>
      </c>
    </row>
    <row r="2" spans="1:15" ht="46.5" x14ac:dyDescent="0.7">
      <c r="A2" s="148" t="s">
        <v>63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5" ht="15" customHeight="1" thickBot="1" x14ac:dyDescent="0.75">
      <c r="A3" s="56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5" ht="48" x14ac:dyDescent="0.25">
      <c r="A4" s="17" t="s">
        <v>2</v>
      </c>
      <c r="B4" s="18" t="s">
        <v>3</v>
      </c>
      <c r="C4" s="19" t="s">
        <v>4</v>
      </c>
      <c r="D4" s="19" t="s">
        <v>5</v>
      </c>
      <c r="E4" s="20" t="s">
        <v>6</v>
      </c>
      <c r="F4" s="71" t="s">
        <v>7</v>
      </c>
      <c r="G4" s="20" t="s">
        <v>8</v>
      </c>
      <c r="H4" s="21" t="s">
        <v>9</v>
      </c>
      <c r="I4" s="21" t="s">
        <v>10</v>
      </c>
      <c r="J4" s="22" t="s">
        <v>11</v>
      </c>
      <c r="K4" s="23" t="s">
        <v>12</v>
      </c>
      <c r="L4" s="23" t="s">
        <v>13</v>
      </c>
      <c r="M4" s="57" t="s">
        <v>90</v>
      </c>
    </row>
    <row r="5" spans="1:15" x14ac:dyDescent="0.25">
      <c r="A5" t="s">
        <v>79</v>
      </c>
      <c r="B5" s="4">
        <v>903</v>
      </c>
      <c r="C5" t="str">
        <f>VLOOKUP(B5,'[1]Route types'!A:B,2,FALSE)</f>
        <v>BRT - HIghway</v>
      </c>
      <c r="D5" s="4" t="s">
        <v>14</v>
      </c>
      <c r="E5" s="5">
        <v>2249402.0857666992</v>
      </c>
      <c r="F5" s="75">
        <v>60226.002645272631</v>
      </c>
      <c r="G5" s="5">
        <f>E5-F5</f>
        <v>2189176.0831214264</v>
      </c>
      <c r="H5" s="6">
        <v>82846.451166069863</v>
      </c>
      <c r="I5" s="7">
        <v>8563.6400000000231</v>
      </c>
      <c r="J5" s="45">
        <f>G5/H5</f>
        <v>26.424500413821146</v>
      </c>
      <c r="K5" s="25">
        <f>J5/H13</f>
        <v>0.84121254999686867</v>
      </c>
      <c r="L5" s="46">
        <f>H5/I5</f>
        <v>9.6742099348022155</v>
      </c>
      <c r="M5" s="26"/>
    </row>
    <row r="6" spans="1:15" x14ac:dyDescent="0.25">
      <c r="A6" t="s">
        <v>79</v>
      </c>
      <c r="B6" s="4">
        <v>904</v>
      </c>
      <c r="C6" t="s">
        <v>80</v>
      </c>
      <c r="D6" s="4" t="s">
        <v>14</v>
      </c>
      <c r="E6" s="5">
        <v>354475.0607457335</v>
      </c>
      <c r="F6" s="75">
        <v>6026.4611303214497</v>
      </c>
      <c r="G6" s="5">
        <f t="shared" ref="G6:G10" si="0">E6-F6</f>
        <v>348448.59961541207</v>
      </c>
      <c r="H6" s="6">
        <v>9572.6878722545516</v>
      </c>
      <c r="I6" s="7">
        <v>1566.7800000000004</v>
      </c>
      <c r="J6" s="45">
        <f t="shared" ref="J6:J10" si="1">G6/H6</f>
        <v>36.400288431565222</v>
      </c>
      <c r="K6" s="25">
        <f>J6/H13</f>
        <v>1.1587874500031314</v>
      </c>
      <c r="L6" s="46">
        <f t="shared" ref="L6:L10" si="2">H6/I6</f>
        <v>6.1097843170416706</v>
      </c>
      <c r="M6" s="26"/>
    </row>
    <row r="7" spans="1:15" ht="15.75" thickBot="1" x14ac:dyDescent="0.3">
      <c r="A7" t="s">
        <v>79</v>
      </c>
      <c r="B7" s="4">
        <v>903</v>
      </c>
      <c r="C7" t="str">
        <f>VLOOKUP(B7,'[1]Route types'!A:B,2,FALSE)</f>
        <v>BRT - HIghway</v>
      </c>
      <c r="D7" s="4" t="s">
        <v>17</v>
      </c>
      <c r="E7" s="5">
        <v>325625.78857045731</v>
      </c>
      <c r="F7" s="75">
        <v>9835.3441193210383</v>
      </c>
      <c r="G7" s="5">
        <f t="shared" si="0"/>
        <v>315790.44445113628</v>
      </c>
      <c r="H7" s="6">
        <v>15198.182209966502</v>
      </c>
      <c r="I7" s="7">
        <v>1243.8300000000008</v>
      </c>
      <c r="J7" s="45">
        <f t="shared" si="1"/>
        <v>20.778172026655305</v>
      </c>
      <c r="K7" s="32">
        <f>J7/H14</f>
        <v>0.98719559919952315</v>
      </c>
      <c r="L7" s="46">
        <f t="shared" si="2"/>
        <v>12.218858051314482</v>
      </c>
      <c r="M7" s="35"/>
    </row>
    <row r="8" spans="1:15" ht="15.75" thickBot="1" x14ac:dyDescent="0.3">
      <c r="A8" t="s">
        <v>79</v>
      </c>
      <c r="B8" s="4">
        <v>904</v>
      </c>
      <c r="C8" t="s">
        <v>80</v>
      </c>
      <c r="D8" s="4" t="s">
        <v>17</v>
      </c>
      <c r="E8" s="5">
        <v>25936.361376479064</v>
      </c>
      <c r="F8" s="75">
        <v>100.19536079157099</v>
      </c>
      <c r="G8" s="5">
        <f t="shared" si="0"/>
        <v>25836.166015687493</v>
      </c>
      <c r="H8" s="6">
        <v>1211.9881116558415</v>
      </c>
      <c r="I8" s="7">
        <v>115.26</v>
      </c>
      <c r="J8" s="45">
        <f t="shared" si="1"/>
        <v>21.317177757123066</v>
      </c>
      <c r="K8" s="32">
        <f>J8/H14</f>
        <v>1.0128044008004766</v>
      </c>
      <c r="L8" s="46">
        <f t="shared" si="2"/>
        <v>10.515253441400672</v>
      </c>
    </row>
    <row r="9" spans="1:15" ht="15.75" thickBot="1" x14ac:dyDescent="0.3">
      <c r="A9" t="s">
        <v>79</v>
      </c>
      <c r="B9" s="4">
        <v>903</v>
      </c>
      <c r="C9" t="str">
        <f>VLOOKUP(B9,'[1]Route types'!A:B,2,FALSE)</f>
        <v>BRT - HIghway</v>
      </c>
      <c r="D9" s="4" t="s">
        <v>18</v>
      </c>
      <c r="E9" s="5">
        <v>363320.1634802827</v>
      </c>
      <c r="F9" s="75">
        <v>7814.9758236822454</v>
      </c>
      <c r="G9" s="5">
        <f t="shared" si="0"/>
        <v>355505.18765660044</v>
      </c>
      <c r="H9" s="6">
        <v>14661.763282371237</v>
      </c>
      <c r="I9" s="7">
        <v>1388.170000000001</v>
      </c>
      <c r="J9" s="45">
        <f t="shared" si="1"/>
        <v>24.247096396928381</v>
      </c>
      <c r="K9" s="32">
        <f>J9/H15</f>
        <v>0.74114113919551328</v>
      </c>
      <c r="L9" s="46">
        <f t="shared" si="2"/>
        <v>10.561936421599103</v>
      </c>
    </row>
    <row r="10" spans="1:15" ht="15.75" thickBot="1" x14ac:dyDescent="0.3">
      <c r="A10" t="s">
        <v>79</v>
      </c>
      <c r="B10" s="4">
        <v>904</v>
      </c>
      <c r="C10" t="s">
        <v>80</v>
      </c>
      <c r="D10" s="4" t="s">
        <v>18</v>
      </c>
      <c r="E10" s="5">
        <v>40846.209852793079</v>
      </c>
      <c r="F10" s="75">
        <v>161.47186243269704</v>
      </c>
      <c r="G10" s="5">
        <f t="shared" si="0"/>
        <v>40684.73799036038</v>
      </c>
      <c r="H10" s="6">
        <v>987.86059933385854</v>
      </c>
      <c r="I10" s="7">
        <v>180.75</v>
      </c>
      <c r="J10" s="45">
        <f t="shared" si="1"/>
        <v>41.184695510475073</v>
      </c>
      <c r="K10" s="100">
        <f>J10/H15</f>
        <v>1.2588588608044868</v>
      </c>
      <c r="L10" s="46">
        <f t="shared" si="2"/>
        <v>5.465342181653436</v>
      </c>
    </row>
    <row r="11" spans="1:15" ht="15.75" thickBot="1" x14ac:dyDescent="0.3">
      <c r="O11" s="9"/>
    </row>
    <row r="12" spans="1:15" ht="36" x14ac:dyDescent="0.25">
      <c r="G12" s="70" t="s">
        <v>20</v>
      </c>
      <c r="H12" s="58" t="s">
        <v>21</v>
      </c>
      <c r="I12" s="58" t="s">
        <v>22</v>
      </c>
      <c r="J12" s="58" t="s">
        <v>23</v>
      </c>
      <c r="K12" s="59" t="s">
        <v>24</v>
      </c>
    </row>
    <row r="13" spans="1:15" x14ac:dyDescent="0.25">
      <c r="G13" s="60" t="s">
        <v>14</v>
      </c>
      <c r="H13" s="61">
        <f>AVERAGE(J5:J6)</f>
        <v>31.412394422693183</v>
      </c>
      <c r="I13" s="62">
        <f>H13*1.2</f>
        <v>37.694873307231816</v>
      </c>
      <c r="J13" s="63">
        <f>H13*1.35</f>
        <v>42.406732470635802</v>
      </c>
      <c r="K13" s="64">
        <f>H13*1.6</f>
        <v>50.259831076309098</v>
      </c>
    </row>
    <row r="14" spans="1:15" x14ac:dyDescent="0.25">
      <c r="G14" s="60" t="s">
        <v>17</v>
      </c>
      <c r="H14" s="61">
        <f>AVERAGE(J7:J8)</f>
        <v>21.047674891889187</v>
      </c>
      <c r="I14" s="62">
        <f>H14*1.2</f>
        <v>25.257209870267022</v>
      </c>
      <c r="J14" s="63">
        <f>H14*1.35</f>
        <v>28.414361104050403</v>
      </c>
      <c r="K14" s="64">
        <f>H14*1.6</f>
        <v>33.676279827022704</v>
      </c>
    </row>
    <row r="15" spans="1:15" ht="15.75" thickBot="1" x14ac:dyDescent="0.3">
      <c r="G15" s="65" t="s">
        <v>18</v>
      </c>
      <c r="H15" s="66">
        <f>AVERAGE(J9:J10)</f>
        <v>32.715895953701725</v>
      </c>
      <c r="I15" s="67">
        <f>H15*1.2</f>
        <v>39.259075144442072</v>
      </c>
      <c r="J15" s="68">
        <f>H15*1.35</f>
        <v>44.166459537497332</v>
      </c>
      <c r="K15" s="69">
        <f>H15*1.6</f>
        <v>52.345433525922765</v>
      </c>
    </row>
  </sheetData>
  <mergeCells count="1">
    <mergeCell ref="A2:M2"/>
  </mergeCells>
  <conditionalFormatting sqref="K1">
    <cfRule type="cellIs" dxfId="9" priority="7" operator="greaterThan">
      <formula>1.6</formula>
    </cfRule>
  </conditionalFormatting>
  <conditionalFormatting sqref="L5:L10">
    <cfRule type="cellIs" dxfId="8" priority="1" operator="lessThan">
      <formula>25</formula>
    </cfRule>
  </conditionalFormatting>
  <pageMargins left="0.7" right="0.7" top="0.75" bottom="0.75" header="0.3" footer="0.3"/>
  <pageSetup scale="63" fitToHeight="0" orientation="landscape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BD6E7-22A2-4227-BFFE-CD0D8EA9632B}">
  <sheetPr>
    <pageSetUpPr autoPageBreaks="0" fitToPage="1"/>
  </sheetPr>
  <dimension ref="A1:Q16"/>
  <sheetViews>
    <sheetView zoomScaleNormal="100" workbookViewId="0">
      <selection activeCell="I6" sqref="I6"/>
    </sheetView>
  </sheetViews>
  <sheetFormatPr defaultRowHeight="15" x14ac:dyDescent="0.25"/>
  <cols>
    <col min="1" max="1" width="20.7109375" customWidth="1"/>
    <col min="2" max="2" width="10.7109375" customWidth="1"/>
    <col min="3" max="3" width="20.7109375" customWidth="1"/>
    <col min="4" max="4" width="10.7109375" customWidth="1"/>
    <col min="5" max="5" width="13.85546875" bestFit="1" customWidth="1"/>
    <col min="6" max="6" width="13.5703125" bestFit="1" customWidth="1"/>
    <col min="7" max="7" width="13.85546875" bestFit="1" customWidth="1"/>
    <col min="8" max="10" width="11.7109375" customWidth="1"/>
    <col min="11" max="11" width="14.140625" customWidth="1"/>
    <col min="12" max="12" width="11.7109375" customWidth="1"/>
    <col min="13" max="13" width="35.7109375" customWidth="1"/>
    <col min="14" max="14" width="14.7109375" bestFit="1" customWidth="1"/>
    <col min="15" max="16" width="14.85546875" bestFit="1" customWidth="1"/>
  </cols>
  <sheetData>
    <row r="1" spans="1:17" ht="18.75" x14ac:dyDescent="0.3">
      <c r="A1" s="15" t="s">
        <v>35</v>
      </c>
    </row>
    <row r="2" spans="1:17" ht="46.5" x14ac:dyDescent="0.7">
      <c r="A2" s="148" t="s">
        <v>64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7" ht="15" customHeight="1" thickBot="1" x14ac:dyDescent="0.75">
      <c r="A3" s="56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ht="48" x14ac:dyDescent="0.25">
      <c r="A4" s="17" t="s">
        <v>2</v>
      </c>
      <c r="B4" s="18" t="s">
        <v>3</v>
      </c>
      <c r="C4" s="19" t="s">
        <v>4</v>
      </c>
      <c r="D4" s="19" t="s">
        <v>5</v>
      </c>
      <c r="E4" s="20" t="s">
        <v>6</v>
      </c>
      <c r="F4" s="71" t="s">
        <v>7</v>
      </c>
      <c r="G4" s="20" t="s">
        <v>8</v>
      </c>
      <c r="H4" s="21" t="s">
        <v>9</v>
      </c>
      <c r="I4" s="21" t="s">
        <v>10</v>
      </c>
      <c r="J4" s="22" t="s">
        <v>11</v>
      </c>
      <c r="K4" s="23" t="s">
        <v>12</v>
      </c>
      <c r="L4" s="23" t="s">
        <v>13</v>
      </c>
      <c r="M4" s="57" t="s">
        <v>90</v>
      </c>
    </row>
    <row r="5" spans="1:17" x14ac:dyDescent="0.25">
      <c r="A5" t="s">
        <v>79</v>
      </c>
      <c r="B5" s="4" t="s">
        <v>81</v>
      </c>
      <c r="C5" t="str">
        <f>VLOOKUP(B5,'[1]Route types'!A:B,2,FALSE)</f>
        <v>Light Rail</v>
      </c>
      <c r="D5" s="4" t="s">
        <v>14</v>
      </c>
      <c r="E5" s="5">
        <v>29224074.356387481</v>
      </c>
      <c r="F5" s="75">
        <v>2101322.381898337</v>
      </c>
      <c r="G5" s="5">
        <f>E5-F5</f>
        <v>27122751.974489145</v>
      </c>
      <c r="H5" s="6">
        <v>3157577</v>
      </c>
      <c r="I5" s="7">
        <v>33872.039999999972</v>
      </c>
      <c r="J5" s="5">
        <f>G5/H5</f>
        <v>8.5897357291648451</v>
      </c>
      <c r="K5" s="25">
        <f>J5/G14</f>
        <v>1.15691425059617</v>
      </c>
      <c r="L5" s="36">
        <f>H5/I5</f>
        <v>93.220750802136592</v>
      </c>
      <c r="M5" s="26"/>
    </row>
    <row r="6" spans="1:17" x14ac:dyDescent="0.25">
      <c r="A6" t="s">
        <v>79</v>
      </c>
      <c r="B6" s="4" t="s">
        <v>82</v>
      </c>
      <c r="C6" t="str">
        <f>VLOOKUP(B6,'[1]Route types'!A:B,2,FALSE)</f>
        <v>Light Rail</v>
      </c>
      <c r="D6" s="4" t="s">
        <v>14</v>
      </c>
      <c r="E6" s="5">
        <v>31234209.320540417</v>
      </c>
      <c r="F6" s="75">
        <v>2805054.5836140546</v>
      </c>
      <c r="G6" s="5">
        <f t="shared" ref="G6:G10" si="0">E6-F6</f>
        <v>28429154.736926362</v>
      </c>
      <c r="H6" s="6">
        <v>4541649</v>
      </c>
      <c r="I6" s="7">
        <v>38480.250000000051</v>
      </c>
      <c r="J6" s="5">
        <f t="shared" ref="J6:J10" si="1">G6/H6</f>
        <v>6.2596547502738238</v>
      </c>
      <c r="K6" s="25">
        <f>J6/G15</f>
        <v>0.88234338559883829</v>
      </c>
      <c r="L6" s="36">
        <f t="shared" ref="L6:L10" si="2">H6/I6</f>
        <v>118.025454616329</v>
      </c>
      <c r="M6" s="26"/>
    </row>
    <row r="7" spans="1:17" x14ac:dyDescent="0.25">
      <c r="A7" t="s">
        <v>79</v>
      </c>
      <c r="B7" s="4" t="s">
        <v>81</v>
      </c>
      <c r="C7" t="str">
        <f>VLOOKUP(B7,'[1]Route types'!A:B,2,FALSE)</f>
        <v>Light Rail</v>
      </c>
      <c r="D7" s="4" t="s">
        <v>17</v>
      </c>
      <c r="E7" s="5">
        <v>5626958.2164504398</v>
      </c>
      <c r="F7" s="75">
        <v>452217.63314802124</v>
      </c>
      <c r="G7" s="5">
        <f t="shared" si="0"/>
        <v>5174740.5833024187</v>
      </c>
      <c r="H7" s="6">
        <v>679530.19</v>
      </c>
      <c r="I7" s="7">
        <v>6529.010000000002</v>
      </c>
      <c r="J7" s="5">
        <f t="shared" si="1"/>
        <v>7.6151739237699196</v>
      </c>
      <c r="K7" s="25">
        <f>J7/G16</f>
        <v>0.91985650047059564</v>
      </c>
      <c r="L7" s="36">
        <f t="shared" si="2"/>
        <v>104.0785953766344</v>
      </c>
      <c r="M7" s="26"/>
    </row>
    <row r="8" spans="1:17" x14ac:dyDescent="0.25">
      <c r="A8" t="s">
        <v>79</v>
      </c>
      <c r="B8" s="4" t="s">
        <v>82</v>
      </c>
      <c r="C8" t="str">
        <f>VLOOKUP(B8,'[1]Route types'!A:B,2,FALSE)</f>
        <v>Light Rail</v>
      </c>
      <c r="D8" s="4" t="s">
        <v>17</v>
      </c>
      <c r="E8" s="5">
        <v>6030198.876438573</v>
      </c>
      <c r="F8" s="75">
        <v>517917.34712088172</v>
      </c>
      <c r="G8" s="5">
        <f t="shared" si="0"/>
        <v>5512281.529317691</v>
      </c>
      <c r="H8" s="6">
        <v>838557.23</v>
      </c>
      <c r="I8" s="7">
        <v>7406.8599999999979</v>
      </c>
      <c r="J8" s="5">
        <f t="shared" si="1"/>
        <v>6.5735305022862791</v>
      </c>
      <c r="K8" s="25">
        <f>J8/G14</f>
        <v>0.88536031312374375</v>
      </c>
      <c r="L8" s="36">
        <f t="shared" si="2"/>
        <v>113.21359253448833</v>
      </c>
      <c r="M8" s="26"/>
    </row>
    <row r="9" spans="1:17" x14ac:dyDescent="0.25">
      <c r="A9" t="s">
        <v>79</v>
      </c>
      <c r="B9" s="4" t="s">
        <v>81</v>
      </c>
      <c r="C9" t="str">
        <f>VLOOKUP(B9,'[1]Route types'!A:B,2,FALSE)</f>
        <v>Light Rail</v>
      </c>
      <c r="D9" s="4" t="s">
        <v>18</v>
      </c>
      <c r="E9" s="5">
        <v>6278159.7347466554</v>
      </c>
      <c r="F9" s="75">
        <v>473079.15284381859</v>
      </c>
      <c r="G9" s="5">
        <f t="shared" si="0"/>
        <v>5805080.5819028364</v>
      </c>
      <c r="H9" s="6">
        <v>710878</v>
      </c>
      <c r="I9" s="7">
        <v>7267.8400000000038</v>
      </c>
      <c r="J9" s="5">
        <f t="shared" si="1"/>
        <v>8.1660715086172821</v>
      </c>
      <c r="K9" s="25">
        <f>J9/G15</f>
        <v>1.1510665475025434</v>
      </c>
      <c r="L9" s="36">
        <f t="shared" si="2"/>
        <v>97.811454297287725</v>
      </c>
      <c r="M9" s="26"/>
    </row>
    <row r="10" spans="1:17" ht="15.75" thickBot="1" x14ac:dyDescent="0.3">
      <c r="A10" t="s">
        <v>79</v>
      </c>
      <c r="B10" s="4" t="s">
        <v>82</v>
      </c>
      <c r="C10" t="str">
        <f>VLOOKUP(B10,'[1]Route types'!A:B,2,FALSE)</f>
        <v>Light Rail</v>
      </c>
      <c r="D10" s="4" t="s">
        <v>18</v>
      </c>
      <c r="E10" s="5">
        <v>6714879.8654364487</v>
      </c>
      <c r="F10" s="75">
        <v>460358.18137488578</v>
      </c>
      <c r="G10" s="5">
        <f t="shared" si="0"/>
        <v>6254521.6840615626</v>
      </c>
      <c r="H10" s="6">
        <v>745363.49</v>
      </c>
      <c r="I10" s="7">
        <v>8242.3699999999972</v>
      </c>
      <c r="J10" s="5">
        <f t="shared" si="1"/>
        <v>8.3912369843357411</v>
      </c>
      <c r="K10" s="32">
        <f>J10/G16</f>
        <v>1.0135991592965905</v>
      </c>
      <c r="L10" s="36">
        <f t="shared" si="2"/>
        <v>90.430724415429083</v>
      </c>
      <c r="M10" s="44"/>
      <c r="N10" s="10"/>
      <c r="O10" s="10"/>
      <c r="P10" s="10"/>
      <c r="Q10" s="10"/>
    </row>
    <row r="11" spans="1:17" x14ac:dyDescent="0.25">
      <c r="N11" s="11"/>
      <c r="O11" s="12"/>
      <c r="P11" s="11"/>
      <c r="Q11" s="13"/>
    </row>
    <row r="12" spans="1:17" ht="15.75" thickBot="1" x14ac:dyDescent="0.3">
      <c r="N12" s="11"/>
      <c r="O12" s="12"/>
      <c r="P12" s="11"/>
      <c r="Q12" s="13"/>
    </row>
    <row r="13" spans="1:17" ht="36" x14ac:dyDescent="0.25">
      <c r="F13" s="70" t="s">
        <v>20</v>
      </c>
      <c r="G13" s="58" t="s">
        <v>21</v>
      </c>
      <c r="H13" s="58" t="s">
        <v>22</v>
      </c>
      <c r="I13" s="58" t="s">
        <v>23</v>
      </c>
      <c r="J13" s="59" t="s">
        <v>24</v>
      </c>
      <c r="N13" s="11"/>
      <c r="O13" s="12"/>
      <c r="P13" s="11"/>
    </row>
    <row r="14" spans="1:17" x14ac:dyDescent="0.25">
      <c r="F14" s="60" t="s">
        <v>14</v>
      </c>
      <c r="G14" s="61">
        <f>AVERAGEIF($D$5:$D$10,"Weekday",J5:J10)</f>
        <v>7.424695239719334</v>
      </c>
      <c r="H14" s="62">
        <f>G14*1.2</f>
        <v>8.9096342876632004</v>
      </c>
      <c r="I14" s="63">
        <f>G14*1.35</f>
        <v>10.023338573621102</v>
      </c>
      <c r="J14" s="64">
        <f>G14*1.6</f>
        <v>11.879512383550935</v>
      </c>
    </row>
    <row r="15" spans="1:17" x14ac:dyDescent="0.25">
      <c r="F15" s="60" t="s">
        <v>17</v>
      </c>
      <c r="G15" s="61">
        <f>AVERAGEIF($D$5:$D$10,"Saturday",J5:J10)</f>
        <v>7.0943522130280989</v>
      </c>
      <c r="H15" s="62">
        <f>G15*1.2</f>
        <v>8.5132226556337187</v>
      </c>
      <c r="I15" s="63">
        <f>G15*1.35</f>
        <v>9.5773754875879344</v>
      </c>
      <c r="J15" s="64">
        <f>G15*1.6</f>
        <v>11.350963540844958</v>
      </c>
    </row>
    <row r="16" spans="1:17" ht="15.75" thickBot="1" x14ac:dyDescent="0.3">
      <c r="F16" s="65" t="s">
        <v>18</v>
      </c>
      <c r="G16" s="66">
        <f>AVERAGEIF($D$5:$D$10,"Sunday",J5:J10)</f>
        <v>8.2786542464765116</v>
      </c>
      <c r="H16" s="67">
        <f>G16*1.2</f>
        <v>9.9343850957718143</v>
      </c>
      <c r="I16" s="68">
        <f>G16*1.35</f>
        <v>11.176183232743291</v>
      </c>
      <c r="J16" s="69">
        <f>G16*1.6</f>
        <v>13.24584679436242</v>
      </c>
    </row>
  </sheetData>
  <mergeCells count="1">
    <mergeCell ref="A2:M2"/>
  </mergeCells>
  <conditionalFormatting sqref="K1">
    <cfRule type="cellIs" dxfId="7" priority="3" operator="greaterThan">
      <formula>1.6</formula>
    </cfRule>
  </conditionalFormatting>
  <conditionalFormatting sqref="L5:L10">
    <cfRule type="cellIs" dxfId="6" priority="1" operator="lessThan">
      <formula>70</formula>
    </cfRule>
  </conditionalFormatting>
  <pageMargins left="0.7" right="0.7" top="0.75" bottom="0.75" header="0.3" footer="0.3"/>
  <pageSetup scale="58" fitToHeight="0" orientation="landscape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B830-37A6-4C34-BBD6-AE0442A19F49}">
  <dimension ref="A1:H97"/>
  <sheetViews>
    <sheetView topLeftCell="A72" workbookViewId="0">
      <selection activeCell="B82" sqref="B82:H85"/>
    </sheetView>
  </sheetViews>
  <sheetFormatPr defaultRowHeight="15" x14ac:dyDescent="0.25"/>
  <cols>
    <col min="1" max="1" width="25.28515625" bestFit="1" customWidth="1"/>
    <col min="2" max="2" width="13.5703125" bestFit="1" customWidth="1"/>
    <col min="3" max="3" width="28" style="115" bestFit="1" customWidth="1"/>
    <col min="5" max="5" width="30.28515625" bestFit="1" customWidth="1"/>
  </cols>
  <sheetData>
    <row r="1" spans="1:8" x14ac:dyDescent="0.25">
      <c r="A1" t="s">
        <v>111</v>
      </c>
      <c r="B1" t="s">
        <v>5</v>
      </c>
      <c r="C1" s="115" t="s">
        <v>112</v>
      </c>
      <c r="D1" t="s">
        <v>113</v>
      </c>
      <c r="E1" t="s">
        <v>114</v>
      </c>
      <c r="F1" t="s">
        <v>115</v>
      </c>
      <c r="G1" t="s">
        <v>116</v>
      </c>
      <c r="H1" t="s">
        <v>47</v>
      </c>
    </row>
    <row r="2" spans="1:8" x14ac:dyDescent="0.25">
      <c r="A2" t="s">
        <v>74</v>
      </c>
      <c r="B2" t="s">
        <v>14</v>
      </c>
      <c r="C2" s="115">
        <f>'Table 1 Commuter &amp; Express Bus'!G77</f>
        <v>91.433550222356516</v>
      </c>
      <c r="D2" t="s">
        <v>117</v>
      </c>
      <c r="E2" t="s">
        <v>118</v>
      </c>
      <c r="F2" s="119"/>
      <c r="G2" s="11">
        <f>F3-0.01</f>
        <v>109.71026026682782</v>
      </c>
      <c r="H2">
        <f>64-SUM(H3:H5)</f>
        <v>61</v>
      </c>
    </row>
    <row r="3" spans="1:8" x14ac:dyDescent="0.25">
      <c r="D3">
        <v>1</v>
      </c>
      <c r="E3" t="s">
        <v>119</v>
      </c>
      <c r="F3" s="11">
        <f>'Table 1 Commuter &amp; Express Bus'!H77</f>
        <v>109.72026026682782</v>
      </c>
      <c r="G3" s="11">
        <f t="shared" ref="G3:G4" si="0">F4-0.01</f>
        <v>123.4252928001813</v>
      </c>
      <c r="H3">
        <v>1</v>
      </c>
    </row>
    <row r="4" spans="1:8" x14ac:dyDescent="0.25">
      <c r="D4">
        <v>2</v>
      </c>
      <c r="E4" t="s">
        <v>120</v>
      </c>
      <c r="F4" s="11">
        <f>'Table 1 Commuter &amp; Express Bus'!I77</f>
        <v>123.4352928001813</v>
      </c>
      <c r="G4" s="11">
        <f t="shared" si="0"/>
        <v>146.28368035577043</v>
      </c>
      <c r="H4">
        <v>1</v>
      </c>
    </row>
    <row r="5" spans="1:8" x14ac:dyDescent="0.25">
      <c r="D5">
        <v>3</v>
      </c>
      <c r="E5" t="s">
        <v>121</v>
      </c>
      <c r="F5" s="11">
        <f>'Table 1 Commuter &amp; Express Bus'!J77</f>
        <v>146.29368035577042</v>
      </c>
      <c r="G5" s="119"/>
      <c r="H5">
        <v>1</v>
      </c>
    </row>
    <row r="6" spans="1:8" x14ac:dyDescent="0.25">
      <c r="A6" t="s">
        <v>74</v>
      </c>
      <c r="B6" t="s">
        <v>17</v>
      </c>
      <c r="C6" s="115">
        <f>'Table 1 Commuter &amp; Express Bus'!G78</f>
        <v>27.932879950157265</v>
      </c>
      <c r="D6" t="s">
        <v>117</v>
      </c>
      <c r="E6" t="s">
        <v>118</v>
      </c>
      <c r="F6" s="119"/>
      <c r="G6" s="11">
        <f>F7-0.01</f>
        <v>33.509455940188715</v>
      </c>
      <c r="H6">
        <v>3</v>
      </c>
    </row>
    <row r="7" spans="1:8" x14ac:dyDescent="0.25">
      <c r="D7">
        <v>1</v>
      </c>
      <c r="E7" t="s">
        <v>119</v>
      </c>
      <c r="F7" s="11">
        <f>'Table 1 Commuter &amp; Express Bus'!H78</f>
        <v>33.519455940188713</v>
      </c>
      <c r="G7" s="11">
        <f t="shared" ref="G7:G8" si="1">F8-0.01</f>
        <v>37.699387932712312</v>
      </c>
      <c r="H7">
        <v>0</v>
      </c>
    </row>
    <row r="8" spans="1:8" x14ac:dyDescent="0.25">
      <c r="D8">
        <v>2</v>
      </c>
      <c r="E8" t="s">
        <v>120</v>
      </c>
      <c r="F8" s="11">
        <f>'Table 1 Commuter &amp; Express Bus'!I78</f>
        <v>37.70938793271231</v>
      </c>
      <c r="G8" s="11">
        <f t="shared" si="1"/>
        <v>44.682607920251627</v>
      </c>
      <c r="H8">
        <v>0</v>
      </c>
    </row>
    <row r="9" spans="1:8" ht="15.75" thickBot="1" x14ac:dyDescent="0.3">
      <c r="D9">
        <v>3</v>
      </c>
      <c r="E9" t="s">
        <v>121</v>
      </c>
      <c r="F9" s="11">
        <f>'Table 1 Commuter &amp; Express Bus'!J78</f>
        <v>44.692607920251625</v>
      </c>
      <c r="G9" s="119"/>
      <c r="H9">
        <v>0</v>
      </c>
    </row>
    <row r="10" spans="1:8" x14ac:dyDescent="0.25">
      <c r="A10" t="s">
        <v>74</v>
      </c>
      <c r="B10" s="129" t="s">
        <v>18</v>
      </c>
      <c r="C10" s="130">
        <f>'Table 1 Commuter &amp; Express Bus'!G78</f>
        <v>27.932879950157265</v>
      </c>
      <c r="D10" s="131" t="s">
        <v>117</v>
      </c>
      <c r="E10" s="131" t="s">
        <v>118</v>
      </c>
      <c r="F10" s="131"/>
      <c r="G10" s="132">
        <f t="shared" ref="F10:G12" si="2">G6</f>
        <v>33.509455940188715</v>
      </c>
      <c r="H10" s="133">
        <v>2</v>
      </c>
    </row>
    <row r="11" spans="1:8" x14ac:dyDescent="0.25">
      <c r="B11" s="134"/>
      <c r="C11" s="135"/>
      <c r="D11" s="117">
        <v>1</v>
      </c>
      <c r="E11" s="117" t="s">
        <v>119</v>
      </c>
      <c r="F11" s="50">
        <f t="shared" si="2"/>
        <v>33.519455940188713</v>
      </c>
      <c r="G11" s="50">
        <f t="shared" si="2"/>
        <v>37.699387932712312</v>
      </c>
      <c r="H11" s="136">
        <v>0</v>
      </c>
    </row>
    <row r="12" spans="1:8" x14ac:dyDescent="0.25">
      <c r="B12" s="134"/>
      <c r="C12" s="135"/>
      <c r="D12" s="117">
        <v>2</v>
      </c>
      <c r="E12" s="117" t="s">
        <v>120</v>
      </c>
      <c r="F12" s="50">
        <f t="shared" si="2"/>
        <v>37.70938793271231</v>
      </c>
      <c r="G12" s="50">
        <f t="shared" si="2"/>
        <v>44.682607920251627</v>
      </c>
      <c r="H12" s="136">
        <v>0</v>
      </c>
    </row>
    <row r="13" spans="1:8" ht="15.75" thickBot="1" x14ac:dyDescent="0.3">
      <c r="B13" s="137"/>
      <c r="C13" s="138"/>
      <c r="D13" s="139">
        <v>3</v>
      </c>
      <c r="E13" s="139" t="s">
        <v>121</v>
      </c>
      <c r="F13" s="53">
        <f>F9</f>
        <v>44.692607920251625</v>
      </c>
      <c r="G13" s="139"/>
      <c r="H13" s="140">
        <v>0</v>
      </c>
    </row>
    <row r="14" spans="1:8" x14ac:dyDescent="0.25">
      <c r="A14" t="s">
        <v>27</v>
      </c>
      <c r="B14" s="129" t="s">
        <v>14</v>
      </c>
      <c r="C14" s="130">
        <f>'Table 2 Core Local Bus'!G86</f>
        <v>15.529005251606945</v>
      </c>
      <c r="D14" s="131" t="s">
        <v>117</v>
      </c>
      <c r="E14" s="131" t="s">
        <v>118</v>
      </c>
      <c r="F14" s="131"/>
      <c r="G14" s="132">
        <f>F15-0.01</f>
        <v>18.624806301928331</v>
      </c>
      <c r="H14" s="133">
        <f>'Table 2 Core Local Bus'!D90-SUM('Subsidy 2'!H15:H17)</f>
        <v>21</v>
      </c>
    </row>
    <row r="15" spans="1:8" x14ac:dyDescent="0.25">
      <c r="B15" s="134"/>
      <c r="C15" s="135"/>
      <c r="D15" s="117">
        <v>1</v>
      </c>
      <c r="E15" s="117" t="s">
        <v>119</v>
      </c>
      <c r="F15" s="50">
        <f>'Table 2 Core Local Bus'!H86</f>
        <v>18.634806301928332</v>
      </c>
      <c r="G15" s="50">
        <f t="shared" ref="G15:G78" si="3">F16-0.01</f>
        <v>20.954157089669376</v>
      </c>
      <c r="H15" s="136">
        <v>4</v>
      </c>
    </row>
    <row r="16" spans="1:8" x14ac:dyDescent="0.25">
      <c r="B16" s="134"/>
      <c r="C16" s="135"/>
      <c r="D16" s="117">
        <v>2</v>
      </c>
      <c r="E16" s="117" t="s">
        <v>120</v>
      </c>
      <c r="F16" s="50">
        <f>'Table 2 Core Local Bus'!I86</f>
        <v>20.964157089669378</v>
      </c>
      <c r="G16" s="50">
        <f t="shared" si="3"/>
        <v>24.836408402571113</v>
      </c>
      <c r="H16" s="136">
        <v>3</v>
      </c>
    </row>
    <row r="17" spans="1:8" ht="15.75" thickBot="1" x14ac:dyDescent="0.3">
      <c r="B17" s="137"/>
      <c r="C17" s="138"/>
      <c r="D17" s="139">
        <v>3</v>
      </c>
      <c r="E17" s="139" t="s">
        <v>121</v>
      </c>
      <c r="F17" s="53">
        <f>'Table 2 Core Local Bus'!J86</f>
        <v>24.846408402571114</v>
      </c>
      <c r="G17" s="53"/>
      <c r="H17" s="140">
        <v>1</v>
      </c>
    </row>
    <row r="18" spans="1:8" x14ac:dyDescent="0.25">
      <c r="A18" t="s">
        <v>27</v>
      </c>
      <c r="B18" s="129" t="s">
        <v>17</v>
      </c>
      <c r="C18" s="130">
        <f>'Table 2 Core Local Bus'!G87</f>
        <v>17.084655751184133</v>
      </c>
      <c r="D18" s="131" t="s">
        <v>117</v>
      </c>
      <c r="E18" s="131" t="s">
        <v>118</v>
      </c>
      <c r="F18" s="131"/>
      <c r="G18" s="132">
        <f t="shared" si="3"/>
        <v>20.491586901420959</v>
      </c>
      <c r="H18" s="133">
        <f>'Table 2 Core Local Bus'!D91-SUM(H19:H21)</f>
        <v>22</v>
      </c>
    </row>
    <row r="19" spans="1:8" x14ac:dyDescent="0.25">
      <c r="B19" s="134"/>
      <c r="C19" s="135"/>
      <c r="D19" s="117">
        <v>1</v>
      </c>
      <c r="E19" s="117" t="s">
        <v>119</v>
      </c>
      <c r="F19" s="50">
        <f>'Table 2 Core Local Bus'!H87</f>
        <v>20.501586901420961</v>
      </c>
      <c r="G19" s="50">
        <f t="shared" si="3"/>
        <v>23.054285264098581</v>
      </c>
      <c r="H19" s="136">
        <v>1</v>
      </c>
    </row>
    <row r="20" spans="1:8" x14ac:dyDescent="0.25">
      <c r="B20" s="134"/>
      <c r="C20" s="135"/>
      <c r="D20" s="117">
        <v>2</v>
      </c>
      <c r="E20" s="117" t="s">
        <v>120</v>
      </c>
      <c r="F20" s="50">
        <f>'Table 2 Core Local Bus'!I87</f>
        <v>23.064285264098583</v>
      </c>
      <c r="G20" s="50">
        <f t="shared" si="3"/>
        <v>27.325449201894614</v>
      </c>
      <c r="H20" s="136">
        <v>1</v>
      </c>
    </row>
    <row r="21" spans="1:8" ht="15.75" thickBot="1" x14ac:dyDescent="0.3">
      <c r="B21" s="137"/>
      <c r="C21" s="138"/>
      <c r="D21" s="139">
        <v>3</v>
      </c>
      <c r="E21" s="139" t="s">
        <v>121</v>
      </c>
      <c r="F21" s="53">
        <f>'Table 2 Core Local Bus'!J87</f>
        <v>27.335449201894615</v>
      </c>
      <c r="G21" s="53"/>
      <c r="H21" s="140">
        <v>2</v>
      </c>
    </row>
    <row r="22" spans="1:8" x14ac:dyDescent="0.25">
      <c r="A22" t="s">
        <v>27</v>
      </c>
      <c r="B22" s="129" t="s">
        <v>18</v>
      </c>
      <c r="C22" s="130">
        <f>'Table 2 Core Local Bus'!G88</f>
        <v>16.539157749774773</v>
      </c>
      <c r="D22" s="131" t="s">
        <v>117</v>
      </c>
      <c r="E22" s="131" t="s">
        <v>118</v>
      </c>
      <c r="F22" s="131"/>
      <c r="G22" s="132">
        <f t="shared" si="3"/>
        <v>19.836989299729726</v>
      </c>
      <c r="H22" s="133">
        <f>'Table 2 Core Local Bus'!D92-SUM('Subsidy 2'!H23:H25)</f>
        <v>18</v>
      </c>
    </row>
    <row r="23" spans="1:8" x14ac:dyDescent="0.25">
      <c r="B23" s="134"/>
      <c r="C23" s="135"/>
      <c r="D23" s="117">
        <v>1</v>
      </c>
      <c r="E23" s="117" t="s">
        <v>119</v>
      </c>
      <c r="F23" s="50">
        <f>'Table 2 Core Local Bus'!H88</f>
        <v>19.846989299729728</v>
      </c>
      <c r="G23" s="50">
        <f t="shared" si="3"/>
        <v>22.317862962195942</v>
      </c>
      <c r="H23" s="136">
        <v>2</v>
      </c>
    </row>
    <row r="24" spans="1:8" x14ac:dyDescent="0.25">
      <c r="B24" s="134"/>
      <c r="C24" s="135"/>
      <c r="D24" s="117">
        <v>2</v>
      </c>
      <c r="E24" s="117" t="s">
        <v>120</v>
      </c>
      <c r="F24" s="50">
        <f>'Table 2 Core Local Bus'!I88</f>
        <v>22.327862962195944</v>
      </c>
      <c r="G24" s="50">
        <f t="shared" si="3"/>
        <v>26.452652399639636</v>
      </c>
      <c r="H24" s="136">
        <v>1</v>
      </c>
    </row>
    <row r="25" spans="1:8" ht="15.75" thickBot="1" x14ac:dyDescent="0.3">
      <c r="B25" s="137"/>
      <c r="C25" s="138"/>
      <c r="D25" s="139">
        <v>3</v>
      </c>
      <c r="E25" s="139" t="s">
        <v>121</v>
      </c>
      <c r="F25" s="53">
        <f>'Table 2 Core Local Bus'!J88</f>
        <v>26.462652399639637</v>
      </c>
      <c r="G25" s="53"/>
      <c r="H25" s="140">
        <v>2</v>
      </c>
    </row>
    <row r="26" spans="1:8" x14ac:dyDescent="0.25">
      <c r="A26" t="s">
        <v>29</v>
      </c>
      <c r="B26" s="129" t="s">
        <v>14</v>
      </c>
      <c r="C26" s="130">
        <f>'Table 3 Supporting Local Bus'!G41</f>
        <v>17.722503148016475</v>
      </c>
      <c r="D26" s="131" t="s">
        <v>117</v>
      </c>
      <c r="E26" s="131" t="s">
        <v>118</v>
      </c>
      <c r="F26" s="131"/>
      <c r="G26" s="132">
        <f t="shared" si="3"/>
        <v>21.257003777619769</v>
      </c>
      <c r="H26" s="133">
        <f>'Table 3 Supporting Local Bus'!E45-SUM('Subsidy 2'!H27:H29)</f>
        <v>9</v>
      </c>
    </row>
    <row r="27" spans="1:8" x14ac:dyDescent="0.25">
      <c r="B27" s="134"/>
      <c r="C27" s="135"/>
      <c r="D27" s="117">
        <v>1</v>
      </c>
      <c r="E27" s="117" t="s">
        <v>119</v>
      </c>
      <c r="F27" s="50">
        <f>'Table 3 Supporting Local Bus'!H41</f>
        <v>21.26700377761977</v>
      </c>
      <c r="G27" s="50">
        <f t="shared" si="3"/>
        <v>23.915379249822241</v>
      </c>
      <c r="H27" s="136">
        <v>1</v>
      </c>
    </row>
    <row r="28" spans="1:8" x14ac:dyDescent="0.25">
      <c r="B28" s="134"/>
      <c r="C28" s="135"/>
      <c r="D28" s="117">
        <v>2</v>
      </c>
      <c r="E28" s="117" t="s">
        <v>120</v>
      </c>
      <c r="F28" s="50">
        <f>'Table 3 Supporting Local Bus'!I41</f>
        <v>23.925379249822242</v>
      </c>
      <c r="G28" s="50">
        <f t="shared" si="3"/>
        <v>28.346005036826359</v>
      </c>
      <c r="H28" s="136">
        <v>1</v>
      </c>
    </row>
    <row r="29" spans="1:8" ht="15.75" thickBot="1" x14ac:dyDescent="0.3">
      <c r="B29" s="137"/>
      <c r="C29" s="138"/>
      <c r="D29" s="139">
        <v>3</v>
      </c>
      <c r="E29" s="139" t="s">
        <v>121</v>
      </c>
      <c r="F29" s="53">
        <f>'Table 3 Supporting Local Bus'!J41</f>
        <v>28.35600503682636</v>
      </c>
      <c r="G29" s="53"/>
      <c r="H29" s="140">
        <v>1</v>
      </c>
    </row>
    <row r="30" spans="1:8" x14ac:dyDescent="0.25">
      <c r="A30" t="s">
        <v>29</v>
      </c>
      <c r="B30" s="129" t="s">
        <v>17</v>
      </c>
      <c r="C30" s="130">
        <f>'Table 3 Supporting Local Bus'!G42</f>
        <v>20.899280163757421</v>
      </c>
      <c r="D30" s="131" t="s">
        <v>117</v>
      </c>
      <c r="E30" s="131" t="s">
        <v>118</v>
      </c>
      <c r="F30" s="131"/>
      <c r="G30" s="132">
        <f t="shared" si="3"/>
        <v>25.069136196508904</v>
      </c>
      <c r="H30" s="133">
        <f>'Table 3 Supporting Local Bus'!E46-SUM('Subsidy 2'!H31:H33)</f>
        <v>8</v>
      </c>
    </row>
    <row r="31" spans="1:8" x14ac:dyDescent="0.25">
      <c r="B31" s="134"/>
      <c r="C31" s="135"/>
      <c r="D31" s="117">
        <v>1</v>
      </c>
      <c r="E31" s="117" t="s">
        <v>119</v>
      </c>
      <c r="F31" s="50">
        <f>'Table 3 Supporting Local Bus'!H42</f>
        <v>25.079136196508905</v>
      </c>
      <c r="G31" s="50">
        <f t="shared" si="3"/>
        <v>28.20402822107252</v>
      </c>
      <c r="H31" s="136">
        <v>0</v>
      </c>
    </row>
    <row r="32" spans="1:8" x14ac:dyDescent="0.25">
      <c r="B32" s="134"/>
      <c r="C32" s="135"/>
      <c r="D32" s="117">
        <v>2</v>
      </c>
      <c r="E32" s="117" t="s">
        <v>120</v>
      </c>
      <c r="F32" s="50">
        <f>'Table 3 Supporting Local Bus'!I42</f>
        <v>28.214028221072521</v>
      </c>
      <c r="G32" s="50">
        <f t="shared" si="3"/>
        <v>33.428848262011876</v>
      </c>
      <c r="H32" s="136">
        <v>3</v>
      </c>
    </row>
    <row r="33" spans="1:8" ht="15.75" thickBot="1" x14ac:dyDescent="0.3">
      <c r="B33" s="137"/>
      <c r="C33" s="138"/>
      <c r="D33" s="139">
        <v>3</v>
      </c>
      <c r="E33" s="139" t="s">
        <v>121</v>
      </c>
      <c r="F33" s="53">
        <f>'Table 3 Supporting Local Bus'!J42</f>
        <v>33.438848262011874</v>
      </c>
      <c r="G33" s="53"/>
      <c r="H33" s="140">
        <v>0</v>
      </c>
    </row>
    <row r="34" spans="1:8" x14ac:dyDescent="0.25">
      <c r="A34" t="s">
        <v>29</v>
      </c>
      <c r="B34" s="129" t="s">
        <v>18</v>
      </c>
      <c r="C34" s="130">
        <f>'Table 3 Supporting Local Bus'!G43</f>
        <v>21.808010806764223</v>
      </c>
      <c r="D34" s="131" t="s">
        <v>117</v>
      </c>
      <c r="E34" s="131" t="s">
        <v>118</v>
      </c>
      <c r="F34" s="131"/>
      <c r="G34" s="132">
        <f t="shared" si="3"/>
        <v>26.159612968117067</v>
      </c>
      <c r="H34" s="133">
        <f>'Table 3 Supporting Local Bus'!E47-SUM('Subsidy 2'!H35:H37)</f>
        <v>9</v>
      </c>
    </row>
    <row r="35" spans="1:8" x14ac:dyDescent="0.25">
      <c r="B35" s="134"/>
      <c r="C35" s="135"/>
      <c r="D35" s="117">
        <v>1</v>
      </c>
      <c r="E35" s="117" t="s">
        <v>119</v>
      </c>
      <c r="F35" s="50">
        <f>'Table 3 Supporting Local Bus'!H43</f>
        <v>26.169612968117068</v>
      </c>
      <c r="G35" s="50">
        <f t="shared" si="3"/>
        <v>29.4308145891317</v>
      </c>
      <c r="H35" s="136">
        <v>0</v>
      </c>
    </row>
    <row r="36" spans="1:8" x14ac:dyDescent="0.25">
      <c r="B36" s="134"/>
      <c r="C36" s="135"/>
      <c r="D36" s="117">
        <v>2</v>
      </c>
      <c r="E36" s="117" t="s">
        <v>120</v>
      </c>
      <c r="F36" s="50">
        <f>'Table 3 Supporting Local Bus'!I43</f>
        <v>29.440814589131701</v>
      </c>
      <c r="G36" s="50">
        <f t="shared" si="3"/>
        <v>34.882817290822757</v>
      </c>
      <c r="H36" s="136">
        <v>0</v>
      </c>
    </row>
    <row r="37" spans="1:8" ht="15.75" thickBot="1" x14ac:dyDescent="0.3">
      <c r="B37" s="137"/>
      <c r="C37" s="138"/>
      <c r="D37" s="139">
        <v>3</v>
      </c>
      <c r="E37" s="139" t="s">
        <v>121</v>
      </c>
      <c r="F37" s="53">
        <f>'Table 3 Supporting Local Bus'!J43</f>
        <v>34.892817290822755</v>
      </c>
      <c r="G37" s="53"/>
      <c r="H37" s="140">
        <v>2</v>
      </c>
    </row>
    <row r="38" spans="1:8" x14ac:dyDescent="0.25">
      <c r="A38" t="s">
        <v>31</v>
      </c>
      <c r="B38" s="129" t="s">
        <v>14</v>
      </c>
      <c r="C38" s="142">
        <f>'Table 4 Suburban Local Bus'!G98</f>
        <v>39.499895434886398</v>
      </c>
      <c r="D38" s="131" t="s">
        <v>117</v>
      </c>
      <c r="E38" s="131" t="s">
        <v>118</v>
      </c>
      <c r="F38" s="131"/>
      <c r="G38" s="132">
        <f t="shared" si="3"/>
        <v>47.389874521863675</v>
      </c>
      <c r="H38" s="133">
        <f>'Table 4 Suburban Local Bus'!D104-SUM('Subsidy 2'!H39:H41)</f>
        <v>32</v>
      </c>
    </row>
    <row r="39" spans="1:8" x14ac:dyDescent="0.25">
      <c r="B39" s="134"/>
      <c r="C39" s="143"/>
      <c r="D39" s="117">
        <v>1</v>
      </c>
      <c r="E39" s="117" t="s">
        <v>119</v>
      </c>
      <c r="F39" s="50">
        <f>'Table 4 Suburban Local Bus'!H98</f>
        <v>47.399874521863673</v>
      </c>
      <c r="G39" s="50">
        <f t="shared" si="3"/>
        <v>53.314858837096644</v>
      </c>
      <c r="H39" s="136">
        <v>1</v>
      </c>
    </row>
    <row r="40" spans="1:8" x14ac:dyDescent="0.25">
      <c r="B40" s="134"/>
      <c r="C40" s="143"/>
      <c r="D40" s="117">
        <v>2</v>
      </c>
      <c r="E40" s="117" t="s">
        <v>120</v>
      </c>
      <c r="F40" s="50">
        <f>'Table 4 Suburban Local Bus'!I98</f>
        <v>53.324858837096642</v>
      </c>
      <c r="G40" s="50">
        <f t="shared" si="3"/>
        <v>63.189832695818239</v>
      </c>
      <c r="H40" s="136">
        <v>2</v>
      </c>
    </row>
    <row r="41" spans="1:8" ht="15.75" thickBot="1" x14ac:dyDescent="0.3">
      <c r="B41" s="137"/>
      <c r="C41" s="144"/>
      <c r="D41" s="139">
        <v>3</v>
      </c>
      <c r="E41" s="139" t="s">
        <v>121</v>
      </c>
      <c r="F41" s="53">
        <f>'Table 4 Suburban Local Bus'!J98</f>
        <v>63.199832695818237</v>
      </c>
      <c r="G41" s="53"/>
      <c r="H41" s="140">
        <v>6</v>
      </c>
    </row>
    <row r="42" spans="1:8" x14ac:dyDescent="0.25">
      <c r="A42" t="s">
        <v>31</v>
      </c>
      <c r="B42" s="129" t="s">
        <v>17</v>
      </c>
      <c r="C42" s="130">
        <f>'Table 4 Suburban Local Bus'!G99</f>
        <v>42.448355148214958</v>
      </c>
      <c r="D42" s="131" t="s">
        <v>117</v>
      </c>
      <c r="E42" s="131" t="s">
        <v>118</v>
      </c>
      <c r="F42" s="131"/>
      <c r="G42" s="132">
        <f t="shared" si="3"/>
        <v>50.928026177857951</v>
      </c>
      <c r="H42" s="133">
        <f>'Table 4 Suburban Local Bus'!D105-SUM('Subsidy 2'!H43:H45)</f>
        <v>20</v>
      </c>
    </row>
    <row r="43" spans="1:8" x14ac:dyDescent="0.25">
      <c r="B43" s="134"/>
      <c r="C43" s="135"/>
      <c r="D43" s="117">
        <v>1</v>
      </c>
      <c r="E43" s="117" t="s">
        <v>119</v>
      </c>
      <c r="F43" s="50">
        <f>'Table 4 Suburban Local Bus'!H99</f>
        <v>50.93802617785795</v>
      </c>
      <c r="G43" s="50">
        <f t="shared" si="3"/>
        <v>57.295279450090199</v>
      </c>
      <c r="H43" s="136">
        <v>1</v>
      </c>
    </row>
    <row r="44" spans="1:8" x14ac:dyDescent="0.25">
      <c r="B44" s="134"/>
      <c r="C44" s="135"/>
      <c r="D44" s="117">
        <v>2</v>
      </c>
      <c r="E44" s="117" t="s">
        <v>120</v>
      </c>
      <c r="F44" s="50">
        <f>'Table 4 Suburban Local Bus'!I99</f>
        <v>57.305279450090197</v>
      </c>
      <c r="G44" s="50">
        <f t="shared" si="3"/>
        <v>67.907368237143928</v>
      </c>
      <c r="H44" s="136">
        <v>1</v>
      </c>
    </row>
    <row r="45" spans="1:8" ht="15.75" thickBot="1" x14ac:dyDescent="0.3">
      <c r="B45" s="137"/>
      <c r="C45" s="138"/>
      <c r="D45" s="139">
        <v>3</v>
      </c>
      <c r="E45" s="139" t="s">
        <v>121</v>
      </c>
      <c r="F45" s="53">
        <f>'Table 4 Suburban Local Bus'!J99</f>
        <v>67.917368237143933</v>
      </c>
      <c r="G45" s="53"/>
      <c r="H45" s="140">
        <v>5</v>
      </c>
    </row>
    <row r="46" spans="1:8" x14ac:dyDescent="0.25">
      <c r="A46" t="s">
        <v>31</v>
      </c>
      <c r="B46" s="129" t="s">
        <v>18</v>
      </c>
      <c r="C46" s="130">
        <f>'Table 4 Suburban Local Bus'!G100</f>
        <v>68.498107639613423</v>
      </c>
      <c r="D46" s="131" t="s">
        <v>117</v>
      </c>
      <c r="E46" s="131" t="s">
        <v>118</v>
      </c>
      <c r="F46" s="131"/>
      <c r="G46" s="132">
        <f t="shared" si="3"/>
        <v>82.187729167536105</v>
      </c>
      <c r="H46" s="133">
        <f>'Table 4 Suburban Local Bus'!D106-SUM('Subsidy 2'!H47:H49)</f>
        <v>16</v>
      </c>
    </row>
    <row r="47" spans="1:8" x14ac:dyDescent="0.25">
      <c r="B47" s="134"/>
      <c r="C47" s="135"/>
      <c r="D47" s="117">
        <v>1</v>
      </c>
      <c r="E47" s="117" t="s">
        <v>119</v>
      </c>
      <c r="F47" s="50">
        <f>'Table 4 Suburban Local Bus'!H100</f>
        <v>82.19772916753611</v>
      </c>
      <c r="G47" s="50">
        <f t="shared" si="3"/>
        <v>92.462445313478128</v>
      </c>
      <c r="H47" s="136">
        <v>2</v>
      </c>
    </row>
    <row r="48" spans="1:8" x14ac:dyDescent="0.25">
      <c r="B48" s="134"/>
      <c r="C48" s="135"/>
      <c r="D48" s="117">
        <v>2</v>
      </c>
      <c r="E48" s="117" t="s">
        <v>120</v>
      </c>
      <c r="F48" s="50">
        <f>'Table 4 Suburban Local Bus'!I100</f>
        <v>92.472445313478133</v>
      </c>
      <c r="G48" s="50">
        <f t="shared" si="3"/>
        <v>109.58697222338148</v>
      </c>
      <c r="H48" s="136"/>
    </row>
    <row r="49" spans="1:8" ht="15.75" thickBot="1" x14ac:dyDescent="0.3">
      <c r="B49" s="137"/>
      <c r="C49" s="138"/>
      <c r="D49" s="139">
        <v>3</v>
      </c>
      <c r="E49" s="139" t="s">
        <v>121</v>
      </c>
      <c r="F49" s="53">
        <f>'Table 4 Suburban Local Bus'!J100</f>
        <v>109.59697222338148</v>
      </c>
      <c r="G49" s="53"/>
      <c r="H49" s="140">
        <v>3</v>
      </c>
    </row>
    <row r="50" spans="1:8" x14ac:dyDescent="0.25">
      <c r="A50" t="s">
        <v>96</v>
      </c>
      <c r="B50" s="129" t="s">
        <v>14</v>
      </c>
      <c r="C50" s="130">
        <f>'Table 5 ABRT'!G14</f>
        <v>7.7312434225599205</v>
      </c>
      <c r="D50" s="131" t="s">
        <v>117</v>
      </c>
      <c r="E50" s="131" t="s">
        <v>118</v>
      </c>
      <c r="F50" s="131"/>
      <c r="G50" s="132">
        <f t="shared" si="3"/>
        <v>9.2674921070719041</v>
      </c>
      <c r="H50" s="133">
        <v>2</v>
      </c>
    </row>
    <row r="51" spans="1:8" x14ac:dyDescent="0.25">
      <c r="B51" s="134"/>
      <c r="C51" s="135"/>
      <c r="D51" s="117">
        <v>1</v>
      </c>
      <c r="E51" s="117" t="s">
        <v>119</v>
      </c>
      <c r="F51" s="50">
        <f>'Table 5 ABRT'!H14</f>
        <v>9.2774921070719039</v>
      </c>
      <c r="G51" s="50">
        <f t="shared" si="3"/>
        <v>10.427178620455894</v>
      </c>
      <c r="H51" s="136">
        <v>0</v>
      </c>
    </row>
    <row r="52" spans="1:8" x14ac:dyDescent="0.25">
      <c r="B52" s="134"/>
      <c r="C52" s="135"/>
      <c r="D52" s="117">
        <v>2</v>
      </c>
      <c r="E52" s="117" t="s">
        <v>120</v>
      </c>
      <c r="F52" s="50">
        <f>'Table 5 ABRT'!I14</f>
        <v>10.437178620455894</v>
      </c>
      <c r="G52" s="50">
        <f t="shared" si="3"/>
        <v>12.359989476095874</v>
      </c>
      <c r="H52" s="136">
        <v>0</v>
      </c>
    </row>
    <row r="53" spans="1:8" ht="15.75" thickBot="1" x14ac:dyDescent="0.3">
      <c r="B53" s="137"/>
      <c r="C53" s="138"/>
      <c r="D53" s="139">
        <v>3</v>
      </c>
      <c r="E53" s="139" t="s">
        <v>121</v>
      </c>
      <c r="F53" s="53">
        <f>'Table 5 ABRT'!J14</f>
        <v>12.369989476095874</v>
      </c>
      <c r="G53" s="53"/>
      <c r="H53" s="140">
        <v>0</v>
      </c>
    </row>
    <row r="54" spans="1:8" x14ac:dyDescent="0.25">
      <c r="A54" t="s">
        <v>96</v>
      </c>
      <c r="B54" s="117" t="s">
        <v>17</v>
      </c>
      <c r="C54" s="121">
        <f>'Table 5 ABRT'!G15</f>
        <v>8.2178125111398703</v>
      </c>
      <c r="D54" s="117" t="s">
        <v>117</v>
      </c>
      <c r="E54" s="117" t="s">
        <v>118</v>
      </c>
      <c r="F54" s="117"/>
      <c r="G54" s="50">
        <f t="shared" si="3"/>
        <v>9.8513750133678446</v>
      </c>
      <c r="H54" s="117">
        <v>2</v>
      </c>
    </row>
    <row r="55" spans="1:8" x14ac:dyDescent="0.25">
      <c r="B55" s="117"/>
      <c r="C55" s="121"/>
      <c r="D55" s="117">
        <v>1</v>
      </c>
      <c r="E55" s="117" t="s">
        <v>119</v>
      </c>
      <c r="F55" s="50">
        <f>'Table 5 ABRT'!H15</f>
        <v>9.8613750133678444</v>
      </c>
      <c r="G55" s="50">
        <f t="shared" si="3"/>
        <v>11.084046890038826</v>
      </c>
      <c r="H55" s="117">
        <v>0</v>
      </c>
    </row>
    <row r="56" spans="1:8" x14ac:dyDescent="0.25">
      <c r="B56" s="117"/>
      <c r="C56" s="121"/>
      <c r="D56" s="117">
        <v>2</v>
      </c>
      <c r="E56" s="117" t="s">
        <v>120</v>
      </c>
      <c r="F56" s="50">
        <f>'Table 5 ABRT'!I15</f>
        <v>11.094046890038825</v>
      </c>
      <c r="G56" s="50">
        <f t="shared" si="3"/>
        <v>13.138500017823793</v>
      </c>
      <c r="H56" s="117">
        <v>0</v>
      </c>
    </row>
    <row r="57" spans="1:8" ht="15.75" thickBot="1" x14ac:dyDescent="0.3">
      <c r="B57" s="117"/>
      <c r="C57" s="121"/>
      <c r="D57" s="117">
        <v>3</v>
      </c>
      <c r="E57" s="117" t="s">
        <v>121</v>
      </c>
      <c r="F57" s="50">
        <f>'Table 5 ABRT'!J15</f>
        <v>13.148500017823793</v>
      </c>
      <c r="G57" s="50"/>
      <c r="H57" s="117">
        <v>0</v>
      </c>
    </row>
    <row r="58" spans="1:8" x14ac:dyDescent="0.25">
      <c r="A58" t="s">
        <v>96</v>
      </c>
      <c r="B58" s="129" t="s">
        <v>18</v>
      </c>
      <c r="C58" s="130">
        <f>'Table 5 ABRT'!G16</f>
        <v>9.7529019350579524</v>
      </c>
      <c r="D58" s="131" t="s">
        <v>117</v>
      </c>
      <c r="E58" s="131" t="s">
        <v>118</v>
      </c>
      <c r="F58" s="131"/>
      <c r="G58" s="132">
        <f t="shared" si="3"/>
        <v>11.693482322069542</v>
      </c>
      <c r="H58" s="133">
        <v>2</v>
      </c>
    </row>
    <row r="59" spans="1:8" x14ac:dyDescent="0.25">
      <c r="B59" s="134"/>
      <c r="C59" s="135"/>
      <c r="D59" s="117">
        <v>1</v>
      </c>
      <c r="E59" s="117" t="s">
        <v>119</v>
      </c>
      <c r="F59" s="50">
        <f>'Table 5 ABRT'!H16</f>
        <v>11.703482322069542</v>
      </c>
      <c r="G59" s="50">
        <f t="shared" si="3"/>
        <v>13.156417612328237</v>
      </c>
      <c r="H59" s="136">
        <v>0</v>
      </c>
    </row>
    <row r="60" spans="1:8" x14ac:dyDescent="0.25">
      <c r="B60" s="134"/>
      <c r="C60" s="135"/>
      <c r="D60" s="117">
        <v>2</v>
      </c>
      <c r="E60" s="117" t="s">
        <v>120</v>
      </c>
      <c r="F60" s="50">
        <f>'Table 5 ABRT'!I16</f>
        <v>13.166417612328237</v>
      </c>
      <c r="G60" s="50">
        <f t="shared" si="3"/>
        <v>15.594643096092724</v>
      </c>
      <c r="H60" s="136">
        <v>0</v>
      </c>
    </row>
    <row r="61" spans="1:8" ht="15.75" thickBot="1" x14ac:dyDescent="0.3">
      <c r="B61" s="137"/>
      <c r="C61" s="138"/>
      <c r="D61" s="139">
        <v>3</v>
      </c>
      <c r="E61" s="139" t="s">
        <v>121</v>
      </c>
      <c r="F61" s="53">
        <f>'Table 5 ABRT'!J16</f>
        <v>15.604643096092724</v>
      </c>
      <c r="G61" s="53"/>
      <c r="H61" s="140">
        <v>0</v>
      </c>
    </row>
    <row r="62" spans="1:8" x14ac:dyDescent="0.25">
      <c r="A62" t="s">
        <v>97</v>
      </c>
      <c r="B62" s="129" t="s">
        <v>14</v>
      </c>
      <c r="C62" s="130">
        <f>'Table 6 Highway BRT'!H13</f>
        <v>31.412394422693183</v>
      </c>
      <c r="D62" s="131" t="s">
        <v>117</v>
      </c>
      <c r="E62" s="131" t="s">
        <v>118</v>
      </c>
      <c r="F62" s="131"/>
      <c r="G62" s="132">
        <f t="shared" si="3"/>
        <v>37.684873307231818</v>
      </c>
      <c r="H62" s="133">
        <v>2</v>
      </c>
    </row>
    <row r="63" spans="1:8" x14ac:dyDescent="0.25">
      <c r="B63" s="134"/>
      <c r="C63" s="135"/>
      <c r="D63" s="117">
        <v>1</v>
      </c>
      <c r="E63" s="117" t="s">
        <v>119</v>
      </c>
      <c r="F63" s="50">
        <f>'Table 6 Highway BRT'!I13</f>
        <v>37.694873307231816</v>
      </c>
      <c r="G63" s="50">
        <f t="shared" si="3"/>
        <v>42.396732470635804</v>
      </c>
      <c r="H63" s="136">
        <v>0</v>
      </c>
    </row>
    <row r="64" spans="1:8" x14ac:dyDescent="0.25">
      <c r="B64" s="134"/>
      <c r="C64" s="135"/>
      <c r="D64" s="117">
        <v>2</v>
      </c>
      <c r="E64" s="117" t="s">
        <v>120</v>
      </c>
      <c r="F64" s="50">
        <f>'Table 6 Highway BRT'!J13</f>
        <v>42.406732470635802</v>
      </c>
      <c r="G64" s="50">
        <f t="shared" si="3"/>
        <v>50.2498310763091</v>
      </c>
      <c r="H64" s="136">
        <v>0</v>
      </c>
    </row>
    <row r="65" spans="1:8" ht="15.75" thickBot="1" x14ac:dyDescent="0.3">
      <c r="B65" s="137"/>
      <c r="C65" s="138"/>
      <c r="D65" s="139">
        <v>3</v>
      </c>
      <c r="E65" s="139" t="s">
        <v>121</v>
      </c>
      <c r="F65" s="53">
        <f>'Table 6 Highway BRT'!K13</f>
        <v>50.259831076309098</v>
      </c>
      <c r="G65" s="53"/>
      <c r="H65" s="140">
        <v>0</v>
      </c>
    </row>
    <row r="66" spans="1:8" x14ac:dyDescent="0.25">
      <c r="A66" t="s">
        <v>97</v>
      </c>
      <c r="B66" s="129" t="s">
        <v>17</v>
      </c>
      <c r="C66" s="130">
        <f>'Table 6 Highway BRT'!H14</f>
        <v>21.047674891889187</v>
      </c>
      <c r="D66" s="131" t="s">
        <v>117</v>
      </c>
      <c r="E66" s="131" t="s">
        <v>118</v>
      </c>
      <c r="F66" s="131"/>
      <c r="G66" s="132">
        <f t="shared" si="3"/>
        <v>25.247209870267021</v>
      </c>
      <c r="H66" s="133">
        <v>2</v>
      </c>
    </row>
    <row r="67" spans="1:8" x14ac:dyDescent="0.25">
      <c r="B67" s="134"/>
      <c r="C67" s="135"/>
      <c r="D67" s="117">
        <v>1</v>
      </c>
      <c r="E67" s="117" t="s">
        <v>119</v>
      </c>
      <c r="F67" s="50">
        <f>'Table 6 Highway BRT'!I14</f>
        <v>25.257209870267022</v>
      </c>
      <c r="G67" s="50">
        <f t="shared" si="3"/>
        <v>28.404361104050402</v>
      </c>
      <c r="H67" s="136">
        <v>0</v>
      </c>
    </row>
    <row r="68" spans="1:8" x14ac:dyDescent="0.25">
      <c r="B68" s="134"/>
      <c r="C68" s="135"/>
      <c r="D68" s="117">
        <v>2</v>
      </c>
      <c r="E68" s="117" t="s">
        <v>120</v>
      </c>
      <c r="F68" s="50">
        <f>'Table 6 Highway BRT'!J14</f>
        <v>28.414361104050403</v>
      </c>
      <c r="G68" s="50">
        <f t="shared" si="3"/>
        <v>33.666279827022706</v>
      </c>
      <c r="H68" s="136">
        <v>0</v>
      </c>
    </row>
    <row r="69" spans="1:8" ht="15.75" thickBot="1" x14ac:dyDescent="0.3">
      <c r="B69" s="137"/>
      <c r="C69" s="138"/>
      <c r="D69" s="139">
        <v>3</v>
      </c>
      <c r="E69" s="139" t="s">
        <v>121</v>
      </c>
      <c r="F69" s="53">
        <f>'Table 6 Highway BRT'!K14</f>
        <v>33.676279827022704</v>
      </c>
      <c r="G69" s="53"/>
      <c r="H69" s="140">
        <v>0</v>
      </c>
    </row>
    <row r="70" spans="1:8" x14ac:dyDescent="0.25">
      <c r="A70" t="s">
        <v>97</v>
      </c>
      <c r="B70" s="129" t="s">
        <v>18</v>
      </c>
      <c r="C70" s="130">
        <f>'Table 6 Highway BRT'!H15</f>
        <v>32.715895953701725</v>
      </c>
      <c r="D70" s="131" t="s">
        <v>117</v>
      </c>
      <c r="E70" s="131" t="s">
        <v>118</v>
      </c>
      <c r="F70" s="131"/>
      <c r="G70" s="132">
        <f t="shared" si="3"/>
        <v>39.249075144442074</v>
      </c>
      <c r="H70" s="133">
        <v>1</v>
      </c>
    </row>
    <row r="71" spans="1:8" x14ac:dyDescent="0.25">
      <c r="B71" s="134"/>
      <c r="C71" s="135"/>
      <c r="D71" s="117">
        <v>1</v>
      </c>
      <c r="E71" s="117" t="s">
        <v>119</v>
      </c>
      <c r="F71" s="50">
        <f>'Table 6 Highway BRT'!I15</f>
        <v>39.259075144442072</v>
      </c>
      <c r="G71" s="50">
        <f t="shared" si="3"/>
        <v>44.156459537497334</v>
      </c>
      <c r="H71" s="136">
        <v>1</v>
      </c>
    </row>
    <row r="72" spans="1:8" x14ac:dyDescent="0.25">
      <c r="B72" s="134"/>
      <c r="C72" s="135"/>
      <c r="D72" s="117">
        <v>2</v>
      </c>
      <c r="E72" s="117" t="s">
        <v>120</v>
      </c>
      <c r="F72" s="50">
        <f>'Table 6 Highway BRT'!J15</f>
        <v>44.166459537497332</v>
      </c>
      <c r="G72" s="50">
        <f t="shared" si="3"/>
        <v>52.335433525922767</v>
      </c>
      <c r="H72" s="136">
        <v>0</v>
      </c>
    </row>
    <row r="73" spans="1:8" ht="15.75" thickBot="1" x14ac:dyDescent="0.3">
      <c r="B73" s="137"/>
      <c r="C73" s="138"/>
      <c r="D73" s="139">
        <v>3</v>
      </c>
      <c r="E73" s="139" t="s">
        <v>121</v>
      </c>
      <c r="F73" s="53">
        <f>'Table 6 Highway BRT'!K15</f>
        <v>52.345433525922765</v>
      </c>
      <c r="G73" s="53"/>
      <c r="H73" s="140">
        <v>0</v>
      </c>
    </row>
    <row r="74" spans="1:8" x14ac:dyDescent="0.25">
      <c r="A74" t="s">
        <v>95</v>
      </c>
      <c r="B74" s="129" t="s">
        <v>14</v>
      </c>
      <c r="C74" s="130">
        <f>'Table 7 LRT'!G14</f>
        <v>7.424695239719334</v>
      </c>
      <c r="D74" s="131" t="s">
        <v>117</v>
      </c>
      <c r="E74" s="131" t="s">
        <v>118</v>
      </c>
      <c r="F74" s="131"/>
      <c r="G74" s="132">
        <f t="shared" si="3"/>
        <v>8.8996342876632006</v>
      </c>
      <c r="H74" s="133">
        <v>2</v>
      </c>
    </row>
    <row r="75" spans="1:8" x14ac:dyDescent="0.25">
      <c r="B75" s="134"/>
      <c r="C75" s="135"/>
      <c r="D75" s="117">
        <v>1</v>
      </c>
      <c r="E75" s="117" t="s">
        <v>119</v>
      </c>
      <c r="F75" s="50">
        <f>'Table 7 LRT'!H14</f>
        <v>8.9096342876632004</v>
      </c>
      <c r="G75" s="50">
        <f t="shared" si="3"/>
        <v>10.013338573621102</v>
      </c>
      <c r="H75" s="136">
        <v>0</v>
      </c>
    </row>
    <row r="76" spans="1:8" x14ac:dyDescent="0.25">
      <c r="B76" s="134"/>
      <c r="C76" s="135"/>
      <c r="D76" s="117">
        <v>2</v>
      </c>
      <c r="E76" s="117" t="s">
        <v>120</v>
      </c>
      <c r="F76" s="50">
        <f>'Table 7 LRT'!I14</f>
        <v>10.023338573621102</v>
      </c>
      <c r="G76" s="50">
        <f t="shared" si="3"/>
        <v>11.869512383550935</v>
      </c>
      <c r="H76" s="136">
        <v>0</v>
      </c>
    </row>
    <row r="77" spans="1:8" ht="15.75" thickBot="1" x14ac:dyDescent="0.3">
      <c r="B77" s="137"/>
      <c r="C77" s="138"/>
      <c r="D77" s="139">
        <v>3</v>
      </c>
      <c r="E77" s="139" t="s">
        <v>121</v>
      </c>
      <c r="F77" s="53">
        <f>'Table 7 LRT'!J14</f>
        <v>11.879512383550935</v>
      </c>
      <c r="G77" s="53"/>
      <c r="H77" s="140">
        <v>0</v>
      </c>
    </row>
    <row r="78" spans="1:8" x14ac:dyDescent="0.25">
      <c r="A78" t="s">
        <v>95</v>
      </c>
      <c r="B78" s="117" t="s">
        <v>17</v>
      </c>
      <c r="C78" s="121">
        <f>'Table 7 LRT'!G15</f>
        <v>7.0943522130280989</v>
      </c>
      <c r="D78" s="117" t="s">
        <v>117</v>
      </c>
      <c r="E78" s="117" t="s">
        <v>118</v>
      </c>
      <c r="F78" s="117"/>
      <c r="G78" s="50">
        <f t="shared" si="3"/>
        <v>8.5032226556337189</v>
      </c>
      <c r="H78" s="117">
        <v>2</v>
      </c>
    </row>
    <row r="79" spans="1:8" x14ac:dyDescent="0.25">
      <c r="B79" s="117"/>
      <c r="C79" s="121"/>
      <c r="D79" s="117">
        <v>1</v>
      </c>
      <c r="E79" s="117" t="s">
        <v>119</v>
      </c>
      <c r="F79" s="50">
        <f>'Table 7 LRT'!H15</f>
        <v>8.5132226556337187</v>
      </c>
      <c r="G79" s="50">
        <f t="shared" ref="G79:G96" si="4">F80-0.01</f>
        <v>9.5673754875879347</v>
      </c>
      <c r="H79" s="117">
        <v>0</v>
      </c>
    </row>
    <row r="80" spans="1:8" x14ac:dyDescent="0.25">
      <c r="B80" s="117"/>
      <c r="C80" s="121"/>
      <c r="D80" s="117">
        <v>2</v>
      </c>
      <c r="E80" s="117" t="s">
        <v>120</v>
      </c>
      <c r="F80" s="50">
        <f>'Table 7 LRT'!I15</f>
        <v>9.5773754875879344</v>
      </c>
      <c r="G80" s="50">
        <f t="shared" si="4"/>
        <v>11.340963540844959</v>
      </c>
      <c r="H80" s="117">
        <v>0</v>
      </c>
    </row>
    <row r="81" spans="1:8" ht="15.75" thickBot="1" x14ac:dyDescent="0.3">
      <c r="B81" s="117"/>
      <c r="C81" s="121"/>
      <c r="D81" s="117">
        <v>3</v>
      </c>
      <c r="E81" s="117" t="s">
        <v>121</v>
      </c>
      <c r="F81" s="50">
        <f>'Table 7 LRT'!J15</f>
        <v>11.350963540844958</v>
      </c>
      <c r="G81" s="50"/>
      <c r="H81" s="117">
        <v>0</v>
      </c>
    </row>
    <row r="82" spans="1:8" x14ac:dyDescent="0.25">
      <c r="A82" t="s">
        <v>95</v>
      </c>
      <c r="B82" s="91" t="s">
        <v>18</v>
      </c>
      <c r="C82" s="125">
        <f>'Table 7 LRT'!G16</f>
        <v>8.2786542464765116</v>
      </c>
      <c r="D82" s="93" t="s">
        <v>117</v>
      </c>
      <c r="E82" s="93" t="s">
        <v>118</v>
      </c>
      <c r="F82" s="126"/>
      <c r="G82" s="127">
        <f t="shared" si="4"/>
        <v>9.9243850957718145</v>
      </c>
      <c r="H82" s="98">
        <v>2</v>
      </c>
    </row>
    <row r="83" spans="1:8" x14ac:dyDescent="0.25">
      <c r="B83" s="24"/>
      <c r="C83" s="45"/>
      <c r="D83">
        <v>1</v>
      </c>
      <c r="E83" t="s">
        <v>119</v>
      </c>
      <c r="F83" s="11">
        <f>'Table 7 LRT'!H16</f>
        <v>9.9343850957718143</v>
      </c>
      <c r="G83" s="11">
        <f t="shared" si="4"/>
        <v>11.166183232743291</v>
      </c>
      <c r="H83" s="26">
        <v>0</v>
      </c>
    </row>
    <row r="84" spans="1:8" x14ac:dyDescent="0.25">
      <c r="B84" s="24"/>
      <c r="C84" s="45"/>
      <c r="D84">
        <v>2</v>
      </c>
      <c r="E84" t="s">
        <v>120</v>
      </c>
      <c r="F84" s="11">
        <f>'Table 7 LRT'!I16</f>
        <v>11.176183232743291</v>
      </c>
      <c r="G84" s="11">
        <f t="shared" si="4"/>
        <v>13.23584679436242</v>
      </c>
      <c r="H84" s="26">
        <v>0</v>
      </c>
    </row>
    <row r="85" spans="1:8" ht="15.75" thickBot="1" x14ac:dyDescent="0.3">
      <c r="B85" s="28"/>
      <c r="C85" s="47"/>
      <c r="D85" s="34">
        <v>3</v>
      </c>
      <c r="E85" s="34" t="s">
        <v>121</v>
      </c>
      <c r="F85" s="128">
        <f>'Table 7 LRT'!J16</f>
        <v>13.24584679436242</v>
      </c>
      <c r="G85" s="141"/>
      <c r="H85" s="35">
        <v>0</v>
      </c>
    </row>
    <row r="86" spans="1:8" x14ac:dyDescent="0.25">
      <c r="A86" t="s">
        <v>94</v>
      </c>
      <c r="B86" t="s">
        <v>14</v>
      </c>
      <c r="C86" s="115">
        <f>'Table 8 Commuter Rail'!J5</f>
        <v>174.33916177234568</v>
      </c>
      <c r="D86" t="s">
        <v>117</v>
      </c>
      <c r="E86" t="s">
        <v>118</v>
      </c>
      <c r="F86" s="119"/>
      <c r="G86" s="11">
        <f t="shared" si="4"/>
        <v>209.19699412681481</v>
      </c>
      <c r="H86">
        <v>1</v>
      </c>
    </row>
    <row r="87" spans="1:8" x14ac:dyDescent="0.25">
      <c r="D87">
        <v>1</v>
      </c>
      <c r="E87" t="s">
        <v>119</v>
      </c>
      <c r="F87" s="11">
        <f>C86*1.2</f>
        <v>209.20699412681481</v>
      </c>
      <c r="G87" s="11">
        <f t="shared" si="4"/>
        <v>235.3478683926667</v>
      </c>
      <c r="H87">
        <v>0</v>
      </c>
    </row>
    <row r="88" spans="1:8" x14ac:dyDescent="0.25">
      <c r="D88">
        <v>2</v>
      </c>
      <c r="E88" t="s">
        <v>120</v>
      </c>
      <c r="F88" s="11">
        <f>C86*1.35</f>
        <v>235.35786839266669</v>
      </c>
      <c r="G88" s="11">
        <f t="shared" si="4"/>
        <v>278.9326588357531</v>
      </c>
      <c r="H88">
        <v>0</v>
      </c>
    </row>
    <row r="89" spans="1:8" x14ac:dyDescent="0.25">
      <c r="D89">
        <v>3</v>
      </c>
      <c r="E89" t="s">
        <v>121</v>
      </c>
      <c r="F89" s="11">
        <f>C86*1.6</f>
        <v>278.94265883575309</v>
      </c>
      <c r="G89" s="120"/>
      <c r="H89">
        <v>0</v>
      </c>
    </row>
    <row r="90" spans="1:8" x14ac:dyDescent="0.25">
      <c r="A90" t="s">
        <v>122</v>
      </c>
      <c r="B90" t="s">
        <v>14</v>
      </c>
      <c r="C90" s="115">
        <f>'Table 9 Gen DAR'!G13</f>
        <v>23.9130529588416</v>
      </c>
      <c r="D90" t="s">
        <v>117</v>
      </c>
      <c r="E90" t="s">
        <v>118</v>
      </c>
      <c r="F90" s="119"/>
      <c r="G90" s="11">
        <f t="shared" si="4"/>
        <v>28.685663550609917</v>
      </c>
      <c r="H90">
        <v>4</v>
      </c>
    </row>
    <row r="91" spans="1:8" x14ac:dyDescent="0.25">
      <c r="D91">
        <v>1</v>
      </c>
      <c r="E91" t="s">
        <v>119</v>
      </c>
      <c r="F91" s="11">
        <f>'Table 9 Gen DAR'!H13</f>
        <v>28.695663550609918</v>
      </c>
      <c r="G91" s="11">
        <f t="shared" si="4"/>
        <v>32.272621494436166</v>
      </c>
      <c r="H91">
        <v>0</v>
      </c>
    </row>
    <row r="92" spans="1:8" x14ac:dyDescent="0.25">
      <c r="D92">
        <v>2</v>
      </c>
      <c r="E92" t="s">
        <v>120</v>
      </c>
      <c r="F92" s="11">
        <f>'Table 9 Gen DAR'!I13</f>
        <v>32.282621494436164</v>
      </c>
      <c r="G92" s="11">
        <f t="shared" si="4"/>
        <v>38.250884734146567</v>
      </c>
      <c r="H92">
        <v>0</v>
      </c>
    </row>
    <row r="93" spans="1:8" x14ac:dyDescent="0.25">
      <c r="D93">
        <v>3</v>
      </c>
      <c r="E93" t="s">
        <v>121</v>
      </c>
      <c r="F93" s="11">
        <f>'Table 9 Gen DAR'!J13</f>
        <v>38.260884734146565</v>
      </c>
      <c r="G93" s="11"/>
      <c r="H93">
        <v>0</v>
      </c>
    </row>
    <row r="94" spans="1:8" x14ac:dyDescent="0.25">
      <c r="A94" t="s">
        <v>122</v>
      </c>
      <c r="B94" t="s">
        <v>17</v>
      </c>
      <c r="C94" s="115">
        <f>'Table 9 Gen DAR'!G14</f>
        <v>14.709921443118999</v>
      </c>
      <c r="D94" t="s">
        <v>117</v>
      </c>
      <c r="E94" t="s">
        <v>118</v>
      </c>
      <c r="F94" s="119"/>
      <c r="G94" s="11">
        <f t="shared" si="4"/>
        <v>17.641905731742796</v>
      </c>
      <c r="H94">
        <v>1</v>
      </c>
    </row>
    <row r="95" spans="1:8" x14ac:dyDescent="0.25">
      <c r="D95">
        <v>1</v>
      </c>
      <c r="E95" t="s">
        <v>119</v>
      </c>
      <c r="F95" s="11">
        <f>'Table 9 Gen DAR'!H14</f>
        <v>17.651905731742797</v>
      </c>
      <c r="G95" s="11">
        <f t="shared" si="4"/>
        <v>19.848393948210649</v>
      </c>
      <c r="H95">
        <v>0</v>
      </c>
    </row>
    <row r="96" spans="1:8" x14ac:dyDescent="0.25">
      <c r="D96">
        <v>2</v>
      </c>
      <c r="E96" t="s">
        <v>120</v>
      </c>
      <c r="F96" s="11">
        <f>'Table 9 Gen DAR'!I14</f>
        <v>19.858393948210651</v>
      </c>
      <c r="G96" s="11">
        <f t="shared" si="4"/>
        <v>23.525874308990399</v>
      </c>
      <c r="H96">
        <v>0</v>
      </c>
    </row>
    <row r="97" spans="4:8" x14ac:dyDescent="0.25">
      <c r="D97">
        <v>3</v>
      </c>
      <c r="E97" t="s">
        <v>121</v>
      </c>
      <c r="F97" s="11">
        <f>'Table 9 Gen DAR'!J14</f>
        <v>23.535874308990401</v>
      </c>
      <c r="G97" s="119"/>
      <c r="H9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1CE2-6F68-496D-823A-DECA469B0297}">
  <sheetPr>
    <pageSetUpPr fitToPage="1"/>
  </sheetPr>
  <dimension ref="A1:M5"/>
  <sheetViews>
    <sheetView zoomScaleNormal="100" workbookViewId="0">
      <selection activeCell="E1" sqref="E1:G1048576"/>
    </sheetView>
  </sheetViews>
  <sheetFormatPr defaultRowHeight="15" x14ac:dyDescent="0.25"/>
  <cols>
    <col min="1" max="1" width="20.7109375" customWidth="1"/>
    <col min="2" max="2" width="8.7109375" customWidth="1"/>
    <col min="3" max="3" width="20.7109375" customWidth="1"/>
    <col min="4" max="4" width="10.7109375" customWidth="1"/>
    <col min="5" max="5" width="12.7109375" bestFit="1" customWidth="1"/>
    <col min="6" max="6" width="14.28515625" bestFit="1" customWidth="1"/>
    <col min="7" max="7" width="12.7109375" bestFit="1" customWidth="1"/>
    <col min="8" max="10" width="11.7109375" customWidth="1"/>
    <col min="11" max="11" width="14.140625" customWidth="1"/>
    <col min="12" max="12" width="11.7109375" customWidth="1"/>
    <col min="13" max="13" width="35.7109375" customWidth="1"/>
  </cols>
  <sheetData>
    <row r="1" spans="1:13" ht="18.75" x14ac:dyDescent="0.3">
      <c r="A1" s="15" t="s">
        <v>36</v>
      </c>
    </row>
    <row r="2" spans="1:13" ht="46.5" x14ac:dyDescent="0.7">
      <c r="A2" s="148" t="s">
        <v>65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15" customHeight="1" thickBot="1" x14ac:dyDescent="0.75">
      <c r="A3" s="56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48" x14ac:dyDescent="0.25">
      <c r="A4" s="17" t="s">
        <v>2</v>
      </c>
      <c r="B4" s="18" t="s">
        <v>3</v>
      </c>
      <c r="C4" s="19" t="s">
        <v>4</v>
      </c>
      <c r="D4" s="19" t="s">
        <v>5</v>
      </c>
      <c r="E4" s="20" t="s">
        <v>6</v>
      </c>
      <c r="F4" s="20" t="s">
        <v>7</v>
      </c>
      <c r="G4" s="20" t="s">
        <v>8</v>
      </c>
      <c r="H4" s="21" t="s">
        <v>9</v>
      </c>
      <c r="I4" s="21" t="s">
        <v>10</v>
      </c>
      <c r="J4" s="22" t="s">
        <v>11</v>
      </c>
      <c r="K4" s="23" t="s">
        <v>12</v>
      </c>
      <c r="L4" s="23" t="s">
        <v>13</v>
      </c>
      <c r="M4" s="57" t="s">
        <v>90</v>
      </c>
    </row>
    <row r="5" spans="1:13" ht="15.75" thickBot="1" x14ac:dyDescent="0.3">
      <c r="A5" s="101" t="s">
        <v>79</v>
      </c>
      <c r="B5" s="102">
        <v>888</v>
      </c>
      <c r="C5" s="101" t="str">
        <f>VLOOKUP(B5,'[1]Route types'!A:B,2,FALSE)</f>
        <v>Commuter Rail</v>
      </c>
      <c r="D5" s="102" t="s">
        <v>14</v>
      </c>
      <c r="E5" s="103">
        <v>8939965.3900000006</v>
      </c>
      <c r="F5" s="104">
        <v>147588.18</v>
      </c>
      <c r="G5" s="5">
        <f>E5-F5</f>
        <v>8792377.2100000009</v>
      </c>
      <c r="H5" s="105">
        <v>50432.6</v>
      </c>
      <c r="I5" s="106">
        <v>888.32000000000494</v>
      </c>
      <c r="J5" s="103">
        <f>G5/H5</f>
        <v>174.33916177234568</v>
      </c>
      <c r="K5" s="107">
        <v>1</v>
      </c>
      <c r="L5" s="108">
        <f>H5/I5</f>
        <v>56.773009726224466</v>
      </c>
      <c r="M5" s="109"/>
    </row>
  </sheetData>
  <mergeCells count="1">
    <mergeCell ref="A2:M2"/>
  </mergeCells>
  <conditionalFormatting sqref="K1">
    <cfRule type="cellIs" dxfId="5" priority="3" operator="greaterThan">
      <formula>1.6</formula>
    </cfRule>
  </conditionalFormatting>
  <conditionalFormatting sqref="L5">
    <cfRule type="cellIs" dxfId="4" priority="1" operator="lessThan">
      <formula>70</formula>
    </cfRule>
  </conditionalFormatting>
  <pageMargins left="0.7" right="0.7" top="0.75" bottom="0.75" header="0.3" footer="0.3"/>
  <pageSetup scale="64" fitToHeight="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11</vt:i4>
      </vt:variant>
    </vt:vector>
  </HeadingPairs>
  <TitlesOfParts>
    <vt:vector size="31" baseType="lpstr">
      <vt:lpstr>Table 1 Commuter &amp; Express Bus</vt:lpstr>
      <vt:lpstr>Table 2 Core Local Bus</vt:lpstr>
      <vt:lpstr>Table 3 Supporting Local Bus</vt:lpstr>
      <vt:lpstr>Table 4 Suburban Local Bus</vt:lpstr>
      <vt:lpstr>Table 5 ABRT</vt:lpstr>
      <vt:lpstr>Table 6 Highway BRT</vt:lpstr>
      <vt:lpstr>Table 7 LRT</vt:lpstr>
      <vt:lpstr>Subsidy 2</vt:lpstr>
      <vt:lpstr>Table 8 Commuter Rail</vt:lpstr>
      <vt:lpstr>Table 9 Gen DAR</vt:lpstr>
      <vt:lpstr>Table 10 ADA DAR</vt:lpstr>
      <vt:lpstr>Table 11 Vanpool</vt:lpstr>
      <vt:lpstr>All Routes</vt:lpstr>
      <vt:lpstr>Pivot</vt:lpstr>
      <vt:lpstr>Subsidy 1</vt:lpstr>
      <vt:lpstr>Productivity</vt:lpstr>
      <vt:lpstr>Trips</vt:lpstr>
      <vt:lpstr>In Service Hours</vt:lpstr>
      <vt:lpstr>Operating Cost</vt:lpstr>
      <vt:lpstr>System Subsidy</vt:lpstr>
      <vt:lpstr>'Table 1 Commuter &amp; Express Bus'!Print_Area</vt:lpstr>
      <vt:lpstr>'Table 10 ADA DAR'!Print_Area</vt:lpstr>
      <vt:lpstr>'Table 11 Vanpool'!Print_Area</vt:lpstr>
      <vt:lpstr>'Table 2 Core Local Bus'!Print_Area</vt:lpstr>
      <vt:lpstr>'Table 3 Supporting Local Bus'!Print_Area</vt:lpstr>
      <vt:lpstr>'Table 4 Suburban Local Bus'!Print_Area</vt:lpstr>
      <vt:lpstr>'Table 5 ABRT'!Print_Area</vt:lpstr>
      <vt:lpstr>'Table 6 Highway BRT'!Print_Area</vt:lpstr>
      <vt:lpstr>'Table 7 LRT'!Print_Area</vt:lpstr>
      <vt:lpstr>'Table 8 Commuter Rail'!Print_Area</vt:lpstr>
      <vt:lpstr>'Table 9 Gen DAR'!Print_Area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Pena, Daniel</dc:creator>
  <cp:keywords/>
  <dc:description/>
  <cp:lastModifiedBy>Maaske, Sara</cp:lastModifiedBy>
  <cp:revision/>
  <dcterms:created xsi:type="dcterms:W3CDTF">2015-06-05T18:17:20Z</dcterms:created>
  <dcterms:modified xsi:type="dcterms:W3CDTF">2023-03-21T14:29:18Z</dcterms:modified>
  <cp:category/>
  <cp:contentStatus/>
</cp:coreProperties>
</file>