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TS\Working\Planning\Transit\Transit - Route Analysis\2023\"/>
    </mc:Choice>
  </mc:AlternateContent>
  <xr:revisionPtr revIDLastSave="0" documentId="13_ncr:1_{101D22CD-C8DD-4356-AD53-9049E071D90C}" xr6:coauthVersionLast="47" xr6:coauthVersionMax="47" xr10:uidLastSave="{00000000-0000-0000-0000-000000000000}"/>
  <bookViews>
    <workbookView xWindow="-120" yWindow="-120" windowWidth="29040" windowHeight="15840" tabRatio="837" xr2:uid="{53FA297B-91B6-4D37-AA2E-01090386FE5B}"/>
  </bookViews>
  <sheets>
    <sheet name="Table 1 Commuter &amp; Express Bus" sheetId="4" r:id="rId1"/>
    <sheet name="Table 2 Core Local Bus" sheetId="6" r:id="rId2"/>
    <sheet name="Table 3 Supporting Local Bus" sheetId="7" r:id="rId3"/>
    <sheet name="Table 4 Suburban Local Bus" sheetId="8" r:id="rId4"/>
    <sheet name="Table 5 Arterial BRT" sheetId="9" r:id="rId5"/>
    <sheet name="Table 6 Highway BRT" sheetId="10" r:id="rId6"/>
    <sheet name="Table 7 LRT" sheetId="11" r:id="rId7"/>
    <sheet name="Table 8 Commuter Rail" sheetId="12" r:id="rId8"/>
    <sheet name="Table 9 Microtransit" sheetId="13" r:id="rId9"/>
    <sheet name="Table 10 Dial-a-Ride" sheetId="14" r:id="rId10"/>
    <sheet name="Table 11 Vanpool" sheetId="15" r:id="rId11"/>
    <sheet name="All Routes" sheetId="1" r:id="rId12"/>
  </sheets>
  <definedNames>
    <definedName name="_xlnm._FilterDatabase" localSheetId="11" hidden="1">'All Routes'!$A$2:$P$280</definedName>
    <definedName name="_xlnm._FilterDatabase" localSheetId="0" hidden="1">'Table 1 Commuter &amp; Express Bus'!$A$3:$P$55</definedName>
    <definedName name="_xlnm._FilterDatabase" localSheetId="1" hidden="1">'Table 2 Core Local Bus'!$A$3:$P$73</definedName>
    <definedName name="_xlnm._FilterDatabase" localSheetId="2" hidden="1">'Table 3 Supporting Local Bus'!$A$3:$P$30</definedName>
    <definedName name="_xlnm._FilterDatabase" localSheetId="3" hidden="1">'Table 4 Suburban Local Bus'!$A$3:$P$97</definedName>
    <definedName name="_xlnm._FilterDatabase" localSheetId="5" hidden="1">'Table 6 Highway BRT'!$A$3:$P$9</definedName>
    <definedName name="_xlnm._FilterDatabase" localSheetId="6" hidden="1">'Table 7 LRT'!$A$3:$P$9</definedName>
    <definedName name="_xlnm._FilterDatabase" localSheetId="8" hidden="1">'Table 9 Microtransit'!$A$3:$P$16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3" l="1"/>
  <c r="G24" i="11"/>
  <c r="G24" i="10"/>
  <c r="G46" i="7"/>
  <c r="G110" i="8"/>
  <c r="H109" i="8"/>
  <c r="K68" i="4"/>
  <c r="N4" i="13"/>
  <c r="K36" i="13"/>
  <c r="G28" i="9"/>
  <c r="J28" i="9" s="1"/>
  <c r="N13" i="13"/>
  <c r="N12" i="13"/>
  <c r="N5" i="13"/>
  <c r="M10" i="13"/>
  <c r="M11" i="13"/>
  <c r="M12" i="13"/>
  <c r="M13" i="13"/>
  <c r="M14" i="13"/>
  <c r="M15" i="13"/>
  <c r="M16" i="13"/>
  <c r="J36" i="13"/>
  <c r="K35" i="13"/>
  <c r="G35" i="13"/>
  <c r="H35" i="13" s="1"/>
  <c r="K34" i="13"/>
  <c r="G34" i="13"/>
  <c r="J34" i="13" s="1"/>
  <c r="K33" i="13"/>
  <c r="G33" i="13"/>
  <c r="N9" i="13" s="1"/>
  <c r="M9" i="13"/>
  <c r="M8" i="13"/>
  <c r="M7" i="13"/>
  <c r="M6" i="13"/>
  <c r="M5" i="13"/>
  <c r="M4" i="13"/>
  <c r="M9" i="11"/>
  <c r="M8" i="11"/>
  <c r="M7" i="11"/>
  <c r="M6" i="11"/>
  <c r="M5" i="11"/>
  <c r="M4" i="11"/>
  <c r="M9" i="10"/>
  <c r="M8" i="10"/>
  <c r="M7" i="10"/>
  <c r="M6" i="10"/>
  <c r="M5" i="10"/>
  <c r="M4" i="10"/>
  <c r="O4" i="10"/>
  <c r="O5" i="10"/>
  <c r="O6" i="10"/>
  <c r="O7" i="10"/>
  <c r="O8" i="10"/>
  <c r="O9" i="10"/>
  <c r="G25" i="9"/>
  <c r="I25" i="9" s="1"/>
  <c r="K27" i="9"/>
  <c r="G27" i="9"/>
  <c r="H27" i="9" s="1"/>
  <c r="K26" i="9"/>
  <c r="G26" i="9"/>
  <c r="J26" i="9" s="1"/>
  <c r="K25" i="9"/>
  <c r="M12" i="9"/>
  <c r="M11" i="9"/>
  <c r="M10" i="9"/>
  <c r="M9" i="9"/>
  <c r="M8" i="9"/>
  <c r="M7" i="9"/>
  <c r="M6" i="9"/>
  <c r="M5" i="9"/>
  <c r="M4" i="9"/>
  <c r="K110" i="8"/>
  <c r="K108" i="8"/>
  <c r="K109" i="8"/>
  <c r="K107" i="8"/>
  <c r="M97" i="8"/>
  <c r="G45" i="7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E45" i="7"/>
  <c r="E44" i="7"/>
  <c r="E43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K84" i="6"/>
  <c r="K85" i="6"/>
  <c r="K83" i="6"/>
  <c r="K86" i="6"/>
  <c r="E83" i="6"/>
  <c r="E77" i="6"/>
  <c r="E78" i="6"/>
  <c r="E79" i="6"/>
  <c r="E85" i="6"/>
  <c r="E8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54" i="6"/>
  <c r="M53" i="6"/>
  <c r="M52" i="6"/>
  <c r="M51" i="6"/>
  <c r="M50" i="6"/>
  <c r="G85" i="6" s="1"/>
  <c r="J85" i="6" s="1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G84" i="6" s="1"/>
  <c r="N39" i="6" s="1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G68" i="4"/>
  <c r="J68" i="4" s="1"/>
  <c r="J66" i="4"/>
  <c r="I66" i="4"/>
  <c r="H66" i="4"/>
  <c r="J65" i="4"/>
  <c r="I65" i="4"/>
  <c r="H65" i="4"/>
  <c r="M4" i="4"/>
  <c r="K66" i="4"/>
  <c r="K65" i="4"/>
  <c r="E67" i="4"/>
  <c r="E66" i="4"/>
  <c r="E65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N11" i="13" l="1"/>
  <c r="N6" i="13"/>
  <c r="N14" i="13"/>
  <c r="N7" i="13"/>
  <c r="N15" i="13"/>
  <c r="N8" i="13"/>
  <c r="N16" i="13"/>
  <c r="H34" i="13"/>
  <c r="N10" i="13"/>
  <c r="J24" i="11"/>
  <c r="N6" i="9"/>
  <c r="I27" i="9"/>
  <c r="N7" i="9"/>
  <c r="J27" i="9"/>
  <c r="N8" i="9"/>
  <c r="N9" i="9"/>
  <c r="N10" i="9"/>
  <c r="N11" i="9"/>
  <c r="N4" i="9"/>
  <c r="N12" i="9"/>
  <c r="N5" i="9"/>
  <c r="G108" i="8"/>
  <c r="N75" i="8" s="1"/>
  <c r="G107" i="8"/>
  <c r="N8" i="8" s="1"/>
  <c r="G109" i="8"/>
  <c r="N58" i="8" s="1"/>
  <c r="N36" i="8"/>
  <c r="N63" i="8"/>
  <c r="N47" i="8"/>
  <c r="N26" i="8"/>
  <c r="N10" i="8"/>
  <c r="N28" i="8"/>
  <c r="N80" i="8"/>
  <c r="N17" i="8"/>
  <c r="N96" i="8"/>
  <c r="N78" i="8"/>
  <c r="N51" i="8"/>
  <c r="N34" i="8"/>
  <c r="N53" i="8"/>
  <c r="N45" i="8"/>
  <c r="I34" i="13"/>
  <c r="H33" i="13"/>
  <c r="I33" i="13"/>
  <c r="I35" i="13"/>
  <c r="J35" i="13"/>
  <c r="H36" i="13"/>
  <c r="I36" i="13"/>
  <c r="J33" i="13"/>
  <c r="K28" i="9"/>
  <c r="H25" i="9"/>
  <c r="H26" i="9"/>
  <c r="I26" i="9"/>
  <c r="H28" i="9"/>
  <c r="I28" i="9"/>
  <c r="J25" i="9"/>
  <c r="N61" i="8"/>
  <c r="N69" i="8"/>
  <c r="N6" i="8"/>
  <c r="N30" i="8"/>
  <c r="N33" i="8"/>
  <c r="N41" i="8"/>
  <c r="N65" i="8"/>
  <c r="J107" i="8"/>
  <c r="J46" i="7"/>
  <c r="G83" i="6"/>
  <c r="N25" i="6" s="1"/>
  <c r="G86" i="6"/>
  <c r="J86" i="6" s="1"/>
  <c r="N15" i="6"/>
  <c r="N23" i="6"/>
  <c r="N10" i="6"/>
  <c r="N19" i="6"/>
  <c r="J83" i="6"/>
  <c r="N22" i="6"/>
  <c r="N8" i="6"/>
  <c r="N16" i="6"/>
  <c r="N24" i="6"/>
  <c r="H83" i="6"/>
  <c r="N4" i="6"/>
  <c r="N12" i="6"/>
  <c r="N20" i="6"/>
  <c r="N21" i="6"/>
  <c r="N6" i="6"/>
  <c r="N40" i="6"/>
  <c r="N33" i="6"/>
  <c r="N41" i="6"/>
  <c r="N26" i="6"/>
  <c r="N34" i="6"/>
  <c r="N42" i="6"/>
  <c r="N70" i="6"/>
  <c r="N35" i="6"/>
  <c r="N28" i="6"/>
  <c r="N36" i="6"/>
  <c r="N44" i="6"/>
  <c r="N32" i="6"/>
  <c r="N27" i="6"/>
  <c r="N71" i="6"/>
  <c r="N29" i="6"/>
  <c r="N37" i="6"/>
  <c r="N45" i="6"/>
  <c r="I84" i="6"/>
  <c r="N30" i="6"/>
  <c r="N38" i="6"/>
  <c r="N46" i="6"/>
  <c r="N43" i="6"/>
  <c r="N31" i="6"/>
  <c r="N63" i="6"/>
  <c r="N62" i="6"/>
  <c r="N48" i="6"/>
  <c r="N56" i="6"/>
  <c r="N64" i="6"/>
  <c r="N72" i="6"/>
  <c r="N49" i="6"/>
  <c r="N57" i="6"/>
  <c r="N65" i="6"/>
  <c r="N73" i="6"/>
  <c r="N50" i="6"/>
  <c r="N58" i="6"/>
  <c r="N66" i="6"/>
  <c r="N51" i="6"/>
  <c r="N59" i="6"/>
  <c r="H85" i="6"/>
  <c r="N54" i="6"/>
  <c r="N47" i="6"/>
  <c r="N52" i="6"/>
  <c r="N60" i="6"/>
  <c r="I85" i="6"/>
  <c r="N55" i="6"/>
  <c r="N53" i="6"/>
  <c r="N61" i="6"/>
  <c r="J84" i="6"/>
  <c r="I86" i="6"/>
  <c r="H84" i="6"/>
  <c r="H68" i="4"/>
  <c r="I68" i="4"/>
  <c r="G66" i="4"/>
  <c r="N25" i="8" l="1"/>
  <c r="N56" i="8"/>
  <c r="N24" i="8"/>
  <c r="N59" i="8"/>
  <c r="N85" i="8"/>
  <c r="N27" i="8"/>
  <c r="N16" i="8"/>
  <c r="N76" i="8"/>
  <c r="N19" i="8"/>
  <c r="N87" i="8"/>
  <c r="N9" i="8"/>
  <c r="N37" i="8"/>
  <c r="N93" i="8"/>
  <c r="N48" i="8"/>
  <c r="N50" i="8"/>
  <c r="N68" i="8"/>
  <c r="N23" i="8"/>
  <c r="N92" i="8"/>
  <c r="N35" i="8"/>
  <c r="N90" i="8"/>
  <c r="N94" i="8"/>
  <c r="N29" i="8"/>
  <c r="N88" i="8"/>
  <c r="N79" i="8"/>
  <c r="N39" i="8"/>
  <c r="N95" i="8"/>
  <c r="N49" i="8"/>
  <c r="N72" i="8"/>
  <c r="N83" i="8"/>
  <c r="N60" i="8"/>
  <c r="N57" i="8"/>
  <c r="N70" i="8"/>
  <c r="N5" i="8"/>
  <c r="N4" i="8"/>
  <c r="N81" i="8"/>
  <c r="N12" i="8"/>
  <c r="N71" i="8"/>
  <c r="N73" i="8"/>
  <c r="N89" i="8"/>
  <c r="N15" i="8"/>
  <c r="N91" i="8"/>
  <c r="N97" i="8"/>
  <c r="N62" i="8"/>
  <c r="N13" i="8"/>
  <c r="N14" i="8"/>
  <c r="N54" i="8"/>
  <c r="N43" i="8"/>
  <c r="N31" i="8"/>
  <c r="N66" i="8"/>
  <c r="N22" i="8"/>
  <c r="N44" i="8"/>
  <c r="I24" i="11"/>
  <c r="H24" i="11"/>
  <c r="N20" i="8"/>
  <c r="J108" i="8"/>
  <c r="N38" i="8"/>
  <c r="N77" i="8"/>
  <c r="N82" i="8"/>
  <c r="N46" i="8"/>
  <c r="N74" i="8"/>
  <c r="N67" i="8"/>
  <c r="N55" i="8"/>
  <c r="N42" i="8"/>
  <c r="N32" i="8"/>
  <c r="N86" i="8"/>
  <c r="N84" i="8"/>
  <c r="N21" i="8"/>
  <c r="N7" i="8"/>
  <c r="N18" i="8"/>
  <c r="N64" i="8"/>
  <c r="N11" i="8"/>
  <c r="N40" i="8"/>
  <c r="N52" i="8"/>
  <c r="H107" i="8"/>
  <c r="J109" i="8"/>
  <c r="H108" i="8"/>
  <c r="I108" i="8"/>
  <c r="I109" i="8"/>
  <c r="I107" i="8"/>
  <c r="H110" i="8"/>
  <c r="I110" i="8"/>
  <c r="J110" i="8"/>
  <c r="I46" i="7"/>
  <c r="H46" i="7"/>
  <c r="N17" i="6"/>
  <c r="N11" i="6"/>
  <c r="N13" i="6"/>
  <c r="N7" i="6"/>
  <c r="N9" i="6"/>
  <c r="I83" i="6"/>
  <c r="N5" i="6"/>
  <c r="N68" i="6"/>
  <c r="N14" i="6"/>
  <c r="N67" i="6"/>
  <c r="N69" i="6"/>
  <c r="N18" i="6"/>
  <c r="H86" i="6"/>
  <c r="N31" i="4"/>
  <c r="O16" i="13"/>
  <c r="G29" i="13" l="1"/>
  <c r="J29" i="13"/>
  <c r="I29" i="13"/>
  <c r="H29" i="13"/>
  <c r="E26" i="13" l="1"/>
  <c r="K285" i="1" l="1"/>
  <c r="L285" i="1" s="1"/>
  <c r="M285" i="1"/>
  <c r="N285" i="1"/>
  <c r="O285" i="1"/>
  <c r="K281" i="1"/>
  <c r="L281" i="1" s="1"/>
  <c r="M281" i="1"/>
  <c r="N281" i="1"/>
  <c r="O281" i="1"/>
  <c r="K282" i="1"/>
  <c r="L282" i="1"/>
  <c r="M282" i="1"/>
  <c r="N282" i="1"/>
  <c r="O282" i="1"/>
  <c r="K283" i="1"/>
  <c r="L283" i="1"/>
  <c r="M283" i="1"/>
  <c r="N283" i="1"/>
  <c r="O283" i="1"/>
  <c r="K284" i="1"/>
  <c r="L284" i="1" s="1"/>
  <c r="M284" i="1"/>
  <c r="N284" i="1"/>
  <c r="O284" i="1"/>
  <c r="L22" i="14" l="1"/>
  <c r="L21" i="14"/>
  <c r="H22" i="14"/>
  <c r="H21" i="14"/>
  <c r="K21" i="14" s="1"/>
  <c r="E22" i="14"/>
  <c r="E21" i="14"/>
  <c r="E20" i="14"/>
  <c r="K63" i="1"/>
  <c r="L63" i="1" s="1"/>
  <c r="M63" i="1"/>
  <c r="N63" i="1"/>
  <c r="O63" i="1"/>
  <c r="K184" i="1"/>
  <c r="L184" i="1" s="1"/>
  <c r="M184" i="1"/>
  <c r="N184" i="1"/>
  <c r="O184" i="1"/>
  <c r="K251" i="1"/>
  <c r="L251" i="1" s="1"/>
  <c r="M251" i="1"/>
  <c r="N251" i="1"/>
  <c r="O251" i="1"/>
  <c r="K129" i="1"/>
  <c r="L129" i="1" s="1"/>
  <c r="M129" i="1"/>
  <c r="N129" i="1"/>
  <c r="O129" i="1"/>
  <c r="K211" i="1"/>
  <c r="L211" i="1" s="1"/>
  <c r="M211" i="1"/>
  <c r="N211" i="1"/>
  <c r="O211" i="1"/>
  <c r="K125" i="1"/>
  <c r="L125" i="1" s="1"/>
  <c r="M125" i="1"/>
  <c r="N125" i="1"/>
  <c r="O125" i="1"/>
  <c r="K207" i="1"/>
  <c r="L207" i="1" s="1"/>
  <c r="M207" i="1"/>
  <c r="N207" i="1"/>
  <c r="O207" i="1"/>
  <c r="K122" i="1"/>
  <c r="L122" i="1" s="1"/>
  <c r="M122" i="1"/>
  <c r="N122" i="1"/>
  <c r="O122" i="1"/>
  <c r="K205" i="1"/>
  <c r="L205" i="1" s="1"/>
  <c r="M205" i="1"/>
  <c r="N205" i="1"/>
  <c r="O205" i="1"/>
  <c r="K269" i="1"/>
  <c r="L269" i="1" s="1"/>
  <c r="M269" i="1"/>
  <c r="N269" i="1"/>
  <c r="O269" i="1"/>
  <c r="K120" i="1"/>
  <c r="L120" i="1" s="1"/>
  <c r="M120" i="1"/>
  <c r="N120" i="1"/>
  <c r="O120" i="1"/>
  <c r="K202" i="1"/>
  <c r="L202" i="1" s="1"/>
  <c r="M202" i="1"/>
  <c r="N202" i="1"/>
  <c r="O202" i="1"/>
  <c r="K271" i="1"/>
  <c r="L271" i="1" s="1"/>
  <c r="M271" i="1"/>
  <c r="N271" i="1"/>
  <c r="O271" i="1"/>
  <c r="K141" i="1"/>
  <c r="L141" i="1" s="1"/>
  <c r="M141" i="1"/>
  <c r="N141" i="1"/>
  <c r="O141" i="1"/>
  <c r="H10" i="12"/>
  <c r="O7" i="1"/>
  <c r="K220" i="1"/>
  <c r="L220" i="1" s="1"/>
  <c r="M220" i="1"/>
  <c r="N220" i="1"/>
  <c r="O220" i="1"/>
  <c r="K219" i="1"/>
  <c r="L219" i="1" s="1"/>
  <c r="M219" i="1"/>
  <c r="N219" i="1"/>
  <c r="O219" i="1"/>
  <c r="O58" i="1"/>
  <c r="O34" i="1"/>
  <c r="O33" i="1"/>
  <c r="O79" i="1"/>
  <c r="O77" i="1"/>
  <c r="O24" i="1"/>
  <c r="O82" i="1"/>
  <c r="O100" i="1"/>
  <c r="O118" i="1"/>
  <c r="O19" i="1"/>
  <c r="O70" i="1"/>
  <c r="O71" i="1"/>
  <c r="O68" i="1"/>
  <c r="O72" i="1"/>
  <c r="O39" i="1"/>
  <c r="O104" i="1"/>
  <c r="O88" i="1"/>
  <c r="O110" i="1"/>
  <c r="O97" i="1"/>
  <c r="O40" i="1"/>
  <c r="O117" i="1"/>
  <c r="O25" i="1"/>
  <c r="O67" i="1"/>
  <c r="O53" i="1"/>
  <c r="O83" i="1"/>
  <c r="O42" i="1"/>
  <c r="O162" i="1"/>
  <c r="O124" i="1"/>
  <c r="O99" i="1"/>
  <c r="O91" i="1"/>
  <c r="O21" i="1"/>
  <c r="O86" i="1"/>
  <c r="O51" i="1"/>
  <c r="O17" i="1"/>
  <c r="O115" i="1"/>
  <c r="O55" i="1"/>
  <c r="O109" i="1"/>
  <c r="O108" i="1"/>
  <c r="O89" i="1"/>
  <c r="O74" i="1"/>
  <c r="O75" i="1"/>
  <c r="O81" i="1"/>
  <c r="O101" i="1"/>
  <c r="O112" i="1"/>
  <c r="O96" i="1"/>
  <c r="O54" i="1"/>
  <c r="O138" i="1"/>
  <c r="O114" i="1"/>
  <c r="O127" i="1"/>
  <c r="O126" i="1"/>
  <c r="O116" i="1"/>
  <c r="O8" i="1"/>
  <c r="O18" i="1"/>
  <c r="O36" i="1"/>
  <c r="O32" i="1"/>
  <c r="O90" i="1"/>
  <c r="O85" i="1"/>
  <c r="O20" i="1"/>
  <c r="O38" i="1"/>
  <c r="O44" i="1"/>
  <c r="O28" i="1"/>
  <c r="O16" i="1"/>
  <c r="O12" i="1"/>
  <c r="O60" i="1"/>
  <c r="O103" i="1"/>
  <c r="O23" i="1"/>
  <c r="O57" i="1"/>
  <c r="O48" i="1"/>
  <c r="O29" i="1"/>
  <c r="O37" i="1"/>
  <c r="O61" i="1"/>
  <c r="O102" i="1"/>
  <c r="O45" i="1"/>
  <c r="O150" i="1"/>
  <c r="O172" i="1"/>
  <c r="O175" i="1"/>
  <c r="O169" i="1"/>
  <c r="O194" i="1"/>
  <c r="O195" i="1"/>
  <c r="O153" i="1"/>
  <c r="O168" i="1"/>
  <c r="O167" i="1"/>
  <c r="O158" i="1"/>
  <c r="O151" i="1"/>
  <c r="O149" i="1"/>
  <c r="O171" i="1"/>
  <c r="O156" i="1"/>
  <c r="O185" i="1"/>
  <c r="O165" i="1"/>
  <c r="O164" i="1"/>
  <c r="O170" i="1"/>
  <c r="O173" i="1"/>
  <c r="O201" i="1"/>
  <c r="O166" i="1"/>
  <c r="O225" i="1"/>
  <c r="O236" i="1"/>
  <c r="O245" i="1"/>
  <c r="O246" i="1"/>
  <c r="O266" i="1"/>
  <c r="O258" i="1"/>
  <c r="O228" i="1"/>
  <c r="O238" i="1"/>
  <c r="O248" i="1"/>
  <c r="O234" i="1"/>
  <c r="O227" i="1"/>
  <c r="O223" i="1"/>
  <c r="O250" i="1"/>
  <c r="O226" i="1"/>
  <c r="O230" i="1"/>
  <c r="O240" i="1"/>
  <c r="O229" i="1"/>
  <c r="O241" i="1"/>
  <c r="O254" i="1"/>
  <c r="O247" i="1"/>
  <c r="O31" i="1"/>
  <c r="O50" i="1"/>
  <c r="O14" i="1"/>
  <c r="O181" i="1"/>
  <c r="O188" i="1"/>
  <c r="O257" i="1"/>
  <c r="O260" i="1"/>
  <c r="O76" i="1"/>
  <c r="O107" i="1"/>
  <c r="O26" i="1"/>
  <c r="O111" i="1"/>
  <c r="O196" i="1"/>
  <c r="O193" i="1"/>
  <c r="O155" i="1"/>
  <c r="O265" i="1"/>
  <c r="O268" i="1"/>
  <c r="O235" i="1"/>
  <c r="O69" i="1"/>
  <c r="O15" i="1"/>
  <c r="O11" i="1"/>
  <c r="O13" i="1"/>
  <c r="O22" i="1"/>
  <c r="O10" i="1"/>
  <c r="O190" i="1"/>
  <c r="O206" i="1"/>
  <c r="O152" i="1"/>
  <c r="O154" i="1"/>
  <c r="O186" i="1"/>
  <c r="O159" i="1"/>
  <c r="O267" i="1"/>
  <c r="O231" i="1"/>
  <c r="O221" i="1"/>
  <c r="O259" i="1"/>
  <c r="O239" i="1"/>
  <c r="O140" i="1"/>
  <c r="O46" i="1"/>
  <c r="O98" i="1"/>
  <c r="O92" i="1"/>
  <c r="O80" i="1"/>
  <c r="O62" i="1"/>
  <c r="O95" i="1"/>
  <c r="O49" i="1"/>
  <c r="O160" i="1"/>
  <c r="O198" i="1"/>
  <c r="O191" i="1"/>
  <c r="O187" i="1"/>
  <c r="O189" i="1"/>
  <c r="O177" i="1"/>
  <c r="O157" i="1"/>
  <c r="O237" i="1"/>
  <c r="O261" i="1"/>
  <c r="O264" i="1"/>
  <c r="O255" i="1"/>
  <c r="O253" i="1"/>
  <c r="O252" i="1"/>
  <c r="O232" i="1"/>
  <c r="O64" i="1"/>
  <c r="O93" i="1"/>
  <c r="O106" i="1"/>
  <c r="O66" i="1"/>
  <c r="O65" i="1"/>
  <c r="O73" i="1"/>
  <c r="O30" i="1"/>
  <c r="O5" i="1"/>
  <c r="O27" i="1"/>
  <c r="O94" i="1"/>
  <c r="O43" i="1"/>
  <c r="O105" i="1"/>
  <c r="O113" i="1"/>
  <c r="O56" i="1"/>
  <c r="O35" i="1"/>
  <c r="O41" i="1"/>
  <c r="O121" i="1"/>
  <c r="O59" i="1"/>
  <c r="O179" i="1"/>
  <c r="O199" i="1"/>
  <c r="O200" i="1"/>
  <c r="O197" i="1"/>
  <c r="O161" i="1"/>
  <c r="O148" i="1"/>
  <c r="O163" i="1"/>
  <c r="O178" i="1"/>
  <c r="O204" i="1"/>
  <c r="O174" i="1"/>
  <c r="O209" i="1"/>
  <c r="O183" i="1"/>
  <c r="O270" i="1"/>
  <c r="O243" i="1"/>
  <c r="O233" i="1"/>
  <c r="O244" i="1"/>
  <c r="O262" i="1"/>
  <c r="O132" i="1"/>
  <c r="O136" i="1"/>
  <c r="O139" i="1"/>
  <c r="O137" i="1"/>
  <c r="O131" i="1"/>
  <c r="O130" i="1"/>
  <c r="O78" i="1"/>
  <c r="O119" i="1"/>
  <c r="O123" i="1"/>
  <c r="O133" i="1"/>
  <c r="O128" i="1"/>
  <c r="O135" i="1"/>
  <c r="O134" i="1"/>
  <c r="O212" i="1"/>
  <c r="O217" i="1"/>
  <c r="O216" i="1"/>
  <c r="O210" i="1"/>
  <c r="O182" i="1"/>
  <c r="O203" i="1"/>
  <c r="O208" i="1"/>
  <c r="O215" i="1"/>
  <c r="O213" i="1"/>
  <c r="O214" i="1"/>
  <c r="O275" i="1"/>
  <c r="O280" i="1"/>
  <c r="O279" i="1"/>
  <c r="O274" i="1"/>
  <c r="O256" i="1"/>
  <c r="O272" i="1"/>
  <c r="O273" i="1"/>
  <c r="O278" i="1"/>
  <c r="O276" i="1"/>
  <c r="O277" i="1"/>
  <c r="O87" i="1"/>
  <c r="O142" i="1"/>
  <c r="O192" i="1"/>
  <c r="O263" i="1"/>
  <c r="O9" i="1"/>
  <c r="O6" i="1"/>
  <c r="O4" i="1"/>
  <c r="O146" i="1"/>
  <c r="O147" i="1"/>
  <c r="O144" i="1"/>
  <c r="O222" i="1"/>
  <c r="O224" i="1"/>
  <c r="O218" i="1"/>
  <c r="O52" i="1"/>
  <c r="O180" i="1"/>
  <c r="O242" i="1"/>
  <c r="O84" i="1"/>
  <c r="O176" i="1"/>
  <c r="O249" i="1"/>
  <c r="O3" i="1"/>
  <c r="O145" i="1"/>
  <c r="O143" i="1"/>
  <c r="O47" i="1"/>
  <c r="K8" i="1"/>
  <c r="L8" i="1" s="1"/>
  <c r="M8" i="1"/>
  <c r="N8" i="1"/>
  <c r="K18" i="1"/>
  <c r="L18" i="1" s="1"/>
  <c r="M18" i="1"/>
  <c r="N18" i="1"/>
  <c r="K36" i="1"/>
  <c r="L36" i="1" s="1"/>
  <c r="M36" i="1"/>
  <c r="N36" i="1"/>
  <c r="K32" i="1"/>
  <c r="L32" i="1" s="1"/>
  <c r="M32" i="1"/>
  <c r="N32" i="1"/>
  <c r="K90" i="1"/>
  <c r="L90" i="1" s="1"/>
  <c r="M90" i="1"/>
  <c r="N90" i="1"/>
  <c r="K85" i="1"/>
  <c r="L85" i="1" s="1"/>
  <c r="M85" i="1"/>
  <c r="N85" i="1"/>
  <c r="K20" i="1"/>
  <c r="L20" i="1" s="1"/>
  <c r="M20" i="1"/>
  <c r="N20" i="1"/>
  <c r="K38" i="1"/>
  <c r="L38" i="1" s="1"/>
  <c r="M38" i="1"/>
  <c r="N38" i="1"/>
  <c r="K44" i="1"/>
  <c r="L44" i="1" s="1"/>
  <c r="M44" i="1"/>
  <c r="N44" i="1"/>
  <c r="K28" i="1"/>
  <c r="L28" i="1" s="1"/>
  <c r="M28" i="1"/>
  <c r="N28" i="1"/>
  <c r="K16" i="1"/>
  <c r="L16" i="1" s="1"/>
  <c r="M16" i="1"/>
  <c r="N16" i="1"/>
  <c r="K12" i="1"/>
  <c r="L12" i="1" s="1"/>
  <c r="M12" i="1"/>
  <c r="N12" i="1"/>
  <c r="K60" i="1"/>
  <c r="L60" i="1" s="1"/>
  <c r="M60" i="1"/>
  <c r="N60" i="1"/>
  <c r="K103" i="1"/>
  <c r="L103" i="1" s="1"/>
  <c r="M103" i="1"/>
  <c r="N103" i="1"/>
  <c r="K23" i="1"/>
  <c r="L23" i="1" s="1"/>
  <c r="M23" i="1"/>
  <c r="N23" i="1"/>
  <c r="K57" i="1"/>
  <c r="L57" i="1" s="1"/>
  <c r="M57" i="1"/>
  <c r="N57" i="1"/>
  <c r="K48" i="1"/>
  <c r="L48" i="1" s="1"/>
  <c r="M48" i="1"/>
  <c r="N48" i="1"/>
  <c r="K29" i="1"/>
  <c r="L29" i="1" s="1"/>
  <c r="M29" i="1"/>
  <c r="N29" i="1"/>
  <c r="K37" i="1"/>
  <c r="L37" i="1" s="1"/>
  <c r="M37" i="1"/>
  <c r="N37" i="1"/>
  <c r="K61" i="1"/>
  <c r="L61" i="1" s="1"/>
  <c r="M61" i="1"/>
  <c r="N61" i="1"/>
  <c r="K102" i="1"/>
  <c r="L102" i="1" s="1"/>
  <c r="M102" i="1"/>
  <c r="N102" i="1"/>
  <c r="K45" i="1"/>
  <c r="L45" i="1" s="1"/>
  <c r="M45" i="1"/>
  <c r="N45" i="1"/>
  <c r="K150" i="1"/>
  <c r="L150" i="1" s="1"/>
  <c r="M150" i="1"/>
  <c r="N150" i="1"/>
  <c r="K172" i="1"/>
  <c r="L172" i="1" s="1"/>
  <c r="M172" i="1"/>
  <c r="N172" i="1"/>
  <c r="K175" i="1"/>
  <c r="L175" i="1" s="1"/>
  <c r="M175" i="1"/>
  <c r="N175" i="1"/>
  <c r="K169" i="1"/>
  <c r="L169" i="1" s="1"/>
  <c r="M169" i="1"/>
  <c r="N169" i="1"/>
  <c r="K194" i="1"/>
  <c r="L194" i="1" s="1"/>
  <c r="M194" i="1"/>
  <c r="N194" i="1"/>
  <c r="K195" i="1"/>
  <c r="L195" i="1" s="1"/>
  <c r="M195" i="1"/>
  <c r="N195" i="1"/>
  <c r="K153" i="1"/>
  <c r="L153" i="1" s="1"/>
  <c r="M153" i="1"/>
  <c r="N153" i="1"/>
  <c r="K168" i="1"/>
  <c r="L168" i="1" s="1"/>
  <c r="M168" i="1"/>
  <c r="N168" i="1"/>
  <c r="K167" i="1"/>
  <c r="L167" i="1" s="1"/>
  <c r="M167" i="1"/>
  <c r="N167" i="1"/>
  <c r="K158" i="1"/>
  <c r="L158" i="1" s="1"/>
  <c r="M158" i="1"/>
  <c r="N158" i="1"/>
  <c r="K151" i="1"/>
  <c r="L151" i="1" s="1"/>
  <c r="M151" i="1"/>
  <c r="N151" i="1"/>
  <c r="K149" i="1"/>
  <c r="L149" i="1" s="1"/>
  <c r="M149" i="1"/>
  <c r="N149" i="1"/>
  <c r="K171" i="1"/>
  <c r="L171" i="1" s="1"/>
  <c r="M171" i="1"/>
  <c r="N171" i="1"/>
  <c r="K156" i="1"/>
  <c r="L156" i="1" s="1"/>
  <c r="M156" i="1"/>
  <c r="N156" i="1"/>
  <c r="K185" i="1"/>
  <c r="L185" i="1" s="1"/>
  <c r="M185" i="1"/>
  <c r="N185" i="1"/>
  <c r="K165" i="1"/>
  <c r="L165" i="1" s="1"/>
  <c r="M165" i="1"/>
  <c r="N165" i="1"/>
  <c r="K164" i="1"/>
  <c r="L164" i="1" s="1"/>
  <c r="M164" i="1"/>
  <c r="N164" i="1"/>
  <c r="K170" i="1"/>
  <c r="L170" i="1" s="1"/>
  <c r="M170" i="1"/>
  <c r="N170" i="1"/>
  <c r="K173" i="1"/>
  <c r="L173" i="1" s="1"/>
  <c r="M173" i="1"/>
  <c r="N173" i="1"/>
  <c r="K201" i="1"/>
  <c r="L201" i="1" s="1"/>
  <c r="M201" i="1"/>
  <c r="N201" i="1"/>
  <c r="K166" i="1"/>
  <c r="L166" i="1" s="1"/>
  <c r="M166" i="1"/>
  <c r="N166" i="1"/>
  <c r="K225" i="1"/>
  <c r="L225" i="1" s="1"/>
  <c r="M225" i="1"/>
  <c r="N225" i="1"/>
  <c r="K236" i="1"/>
  <c r="L236" i="1" s="1"/>
  <c r="M236" i="1"/>
  <c r="N236" i="1"/>
  <c r="K245" i="1"/>
  <c r="L245" i="1" s="1"/>
  <c r="M245" i="1"/>
  <c r="N245" i="1"/>
  <c r="K246" i="1"/>
  <c r="L246" i="1" s="1"/>
  <c r="M246" i="1"/>
  <c r="N246" i="1"/>
  <c r="K266" i="1"/>
  <c r="L266" i="1" s="1"/>
  <c r="M266" i="1"/>
  <c r="N266" i="1"/>
  <c r="K258" i="1"/>
  <c r="L258" i="1" s="1"/>
  <c r="M258" i="1"/>
  <c r="N258" i="1"/>
  <c r="K228" i="1"/>
  <c r="L228" i="1" s="1"/>
  <c r="M228" i="1"/>
  <c r="N228" i="1"/>
  <c r="K238" i="1"/>
  <c r="L238" i="1" s="1"/>
  <c r="M238" i="1"/>
  <c r="N238" i="1"/>
  <c r="K248" i="1"/>
  <c r="L248" i="1" s="1"/>
  <c r="M248" i="1"/>
  <c r="N248" i="1"/>
  <c r="K234" i="1"/>
  <c r="L234" i="1" s="1"/>
  <c r="M234" i="1"/>
  <c r="N234" i="1"/>
  <c r="K227" i="1"/>
  <c r="L227" i="1" s="1"/>
  <c r="M227" i="1"/>
  <c r="N227" i="1"/>
  <c r="K223" i="1"/>
  <c r="L223" i="1" s="1"/>
  <c r="M223" i="1"/>
  <c r="N223" i="1"/>
  <c r="K250" i="1"/>
  <c r="L250" i="1" s="1"/>
  <c r="M250" i="1"/>
  <c r="N250" i="1"/>
  <c r="K226" i="1"/>
  <c r="L226" i="1" s="1"/>
  <c r="M226" i="1"/>
  <c r="N226" i="1"/>
  <c r="K230" i="1"/>
  <c r="L230" i="1" s="1"/>
  <c r="M230" i="1"/>
  <c r="N230" i="1"/>
  <c r="K240" i="1"/>
  <c r="L240" i="1" s="1"/>
  <c r="M240" i="1"/>
  <c r="N240" i="1"/>
  <c r="K229" i="1"/>
  <c r="L229" i="1" s="1"/>
  <c r="M229" i="1"/>
  <c r="N229" i="1"/>
  <c r="K241" i="1"/>
  <c r="L241" i="1" s="1"/>
  <c r="M241" i="1"/>
  <c r="N241" i="1"/>
  <c r="K254" i="1"/>
  <c r="L254" i="1" s="1"/>
  <c r="M254" i="1"/>
  <c r="N254" i="1"/>
  <c r="K247" i="1"/>
  <c r="L247" i="1" s="1"/>
  <c r="M247" i="1"/>
  <c r="N247" i="1"/>
  <c r="K31" i="1"/>
  <c r="L31" i="1" s="1"/>
  <c r="M31" i="1"/>
  <c r="N31" i="1"/>
  <c r="K50" i="1"/>
  <c r="L50" i="1" s="1"/>
  <c r="M50" i="1"/>
  <c r="N50" i="1"/>
  <c r="K14" i="1"/>
  <c r="L14" i="1" s="1"/>
  <c r="M14" i="1"/>
  <c r="N14" i="1"/>
  <c r="K181" i="1"/>
  <c r="L181" i="1" s="1"/>
  <c r="M181" i="1"/>
  <c r="N181" i="1"/>
  <c r="K188" i="1"/>
  <c r="L188" i="1" s="1"/>
  <c r="M188" i="1"/>
  <c r="N188" i="1"/>
  <c r="K257" i="1"/>
  <c r="L257" i="1" s="1"/>
  <c r="M257" i="1"/>
  <c r="N257" i="1"/>
  <c r="K260" i="1"/>
  <c r="L260" i="1" s="1"/>
  <c r="M260" i="1"/>
  <c r="N260" i="1"/>
  <c r="K76" i="1"/>
  <c r="L76" i="1" s="1"/>
  <c r="M76" i="1"/>
  <c r="N76" i="1"/>
  <c r="K107" i="1"/>
  <c r="L107" i="1" s="1"/>
  <c r="M107" i="1"/>
  <c r="N107" i="1"/>
  <c r="K26" i="1"/>
  <c r="L26" i="1" s="1"/>
  <c r="M26" i="1"/>
  <c r="N26" i="1"/>
  <c r="K111" i="1"/>
  <c r="L111" i="1" s="1"/>
  <c r="M111" i="1"/>
  <c r="N111" i="1"/>
  <c r="K196" i="1"/>
  <c r="L196" i="1" s="1"/>
  <c r="M196" i="1"/>
  <c r="N196" i="1"/>
  <c r="K193" i="1"/>
  <c r="L193" i="1" s="1"/>
  <c r="M193" i="1"/>
  <c r="N193" i="1"/>
  <c r="K155" i="1"/>
  <c r="L155" i="1" s="1"/>
  <c r="M155" i="1"/>
  <c r="N155" i="1"/>
  <c r="K265" i="1"/>
  <c r="L265" i="1" s="1"/>
  <c r="M265" i="1"/>
  <c r="N265" i="1"/>
  <c r="K268" i="1"/>
  <c r="L268" i="1" s="1"/>
  <c r="M268" i="1"/>
  <c r="N268" i="1"/>
  <c r="K235" i="1"/>
  <c r="L235" i="1" s="1"/>
  <c r="M235" i="1"/>
  <c r="N235" i="1"/>
  <c r="K69" i="1"/>
  <c r="L69" i="1" s="1"/>
  <c r="M69" i="1"/>
  <c r="N69" i="1"/>
  <c r="K15" i="1"/>
  <c r="L15" i="1" s="1"/>
  <c r="M15" i="1"/>
  <c r="N15" i="1"/>
  <c r="K11" i="1"/>
  <c r="L11" i="1" s="1"/>
  <c r="M11" i="1"/>
  <c r="N11" i="1"/>
  <c r="K13" i="1"/>
  <c r="L13" i="1" s="1"/>
  <c r="M13" i="1"/>
  <c r="N13" i="1"/>
  <c r="K22" i="1"/>
  <c r="L22" i="1" s="1"/>
  <c r="M22" i="1"/>
  <c r="N22" i="1"/>
  <c r="K10" i="1"/>
  <c r="L10" i="1" s="1"/>
  <c r="M10" i="1"/>
  <c r="N10" i="1"/>
  <c r="K190" i="1"/>
  <c r="L190" i="1" s="1"/>
  <c r="M190" i="1"/>
  <c r="N190" i="1"/>
  <c r="K206" i="1"/>
  <c r="L206" i="1" s="1"/>
  <c r="M206" i="1"/>
  <c r="N206" i="1"/>
  <c r="K152" i="1"/>
  <c r="L152" i="1" s="1"/>
  <c r="M152" i="1"/>
  <c r="N152" i="1"/>
  <c r="K154" i="1"/>
  <c r="L154" i="1" s="1"/>
  <c r="M154" i="1"/>
  <c r="N154" i="1"/>
  <c r="K186" i="1"/>
  <c r="L186" i="1" s="1"/>
  <c r="M186" i="1"/>
  <c r="N186" i="1"/>
  <c r="K159" i="1"/>
  <c r="L159" i="1" s="1"/>
  <c r="M159" i="1"/>
  <c r="N159" i="1"/>
  <c r="K267" i="1"/>
  <c r="L267" i="1" s="1"/>
  <c r="M267" i="1"/>
  <c r="N267" i="1"/>
  <c r="K231" i="1"/>
  <c r="L231" i="1" s="1"/>
  <c r="M231" i="1"/>
  <c r="N231" i="1"/>
  <c r="K221" i="1"/>
  <c r="L221" i="1" s="1"/>
  <c r="M221" i="1"/>
  <c r="N221" i="1"/>
  <c r="K259" i="1"/>
  <c r="L259" i="1" s="1"/>
  <c r="M259" i="1"/>
  <c r="N259" i="1"/>
  <c r="K239" i="1"/>
  <c r="L239" i="1" s="1"/>
  <c r="M239" i="1"/>
  <c r="N239" i="1"/>
  <c r="K140" i="1"/>
  <c r="L140" i="1" s="1"/>
  <c r="M140" i="1"/>
  <c r="N140" i="1"/>
  <c r="K46" i="1"/>
  <c r="L46" i="1" s="1"/>
  <c r="M46" i="1"/>
  <c r="N46" i="1"/>
  <c r="K98" i="1"/>
  <c r="L98" i="1" s="1"/>
  <c r="M98" i="1"/>
  <c r="N98" i="1"/>
  <c r="K92" i="1"/>
  <c r="L92" i="1" s="1"/>
  <c r="M92" i="1"/>
  <c r="N92" i="1"/>
  <c r="K80" i="1"/>
  <c r="L80" i="1" s="1"/>
  <c r="M80" i="1"/>
  <c r="N80" i="1"/>
  <c r="K62" i="1"/>
  <c r="L62" i="1" s="1"/>
  <c r="M62" i="1"/>
  <c r="N62" i="1"/>
  <c r="K95" i="1"/>
  <c r="L95" i="1" s="1"/>
  <c r="M95" i="1"/>
  <c r="N95" i="1"/>
  <c r="K49" i="1"/>
  <c r="L49" i="1" s="1"/>
  <c r="M49" i="1"/>
  <c r="N49" i="1"/>
  <c r="K160" i="1"/>
  <c r="L160" i="1" s="1"/>
  <c r="M160" i="1"/>
  <c r="N160" i="1"/>
  <c r="K198" i="1"/>
  <c r="L198" i="1" s="1"/>
  <c r="M198" i="1"/>
  <c r="N198" i="1"/>
  <c r="K191" i="1"/>
  <c r="L191" i="1" s="1"/>
  <c r="M191" i="1"/>
  <c r="N191" i="1"/>
  <c r="K187" i="1"/>
  <c r="L187" i="1" s="1"/>
  <c r="M187" i="1"/>
  <c r="N187" i="1"/>
  <c r="K189" i="1"/>
  <c r="L189" i="1" s="1"/>
  <c r="M189" i="1"/>
  <c r="N189" i="1"/>
  <c r="K177" i="1"/>
  <c r="L177" i="1" s="1"/>
  <c r="M177" i="1"/>
  <c r="N177" i="1"/>
  <c r="K157" i="1"/>
  <c r="L157" i="1" s="1"/>
  <c r="M157" i="1"/>
  <c r="N157" i="1"/>
  <c r="K237" i="1"/>
  <c r="L237" i="1" s="1"/>
  <c r="M237" i="1"/>
  <c r="N237" i="1"/>
  <c r="K261" i="1"/>
  <c r="L261" i="1" s="1"/>
  <c r="M261" i="1"/>
  <c r="N261" i="1"/>
  <c r="K264" i="1"/>
  <c r="L264" i="1" s="1"/>
  <c r="M264" i="1"/>
  <c r="N264" i="1"/>
  <c r="K255" i="1"/>
  <c r="L255" i="1" s="1"/>
  <c r="M255" i="1"/>
  <c r="N255" i="1"/>
  <c r="K253" i="1"/>
  <c r="L253" i="1" s="1"/>
  <c r="M253" i="1"/>
  <c r="N253" i="1"/>
  <c r="K252" i="1"/>
  <c r="L252" i="1" s="1"/>
  <c r="M252" i="1"/>
  <c r="N252" i="1"/>
  <c r="K232" i="1"/>
  <c r="L232" i="1" s="1"/>
  <c r="M232" i="1"/>
  <c r="N232" i="1"/>
  <c r="K64" i="1"/>
  <c r="L64" i="1" s="1"/>
  <c r="M64" i="1"/>
  <c r="N64" i="1"/>
  <c r="K93" i="1"/>
  <c r="L93" i="1" s="1"/>
  <c r="M93" i="1"/>
  <c r="N93" i="1"/>
  <c r="K106" i="1"/>
  <c r="L106" i="1" s="1"/>
  <c r="M106" i="1"/>
  <c r="N106" i="1"/>
  <c r="K66" i="1"/>
  <c r="L66" i="1" s="1"/>
  <c r="M66" i="1"/>
  <c r="N66" i="1"/>
  <c r="K65" i="1"/>
  <c r="L65" i="1" s="1"/>
  <c r="M65" i="1"/>
  <c r="N65" i="1"/>
  <c r="K73" i="1"/>
  <c r="L73" i="1" s="1"/>
  <c r="M73" i="1"/>
  <c r="N73" i="1"/>
  <c r="K30" i="1"/>
  <c r="L30" i="1" s="1"/>
  <c r="M30" i="1"/>
  <c r="N30" i="1"/>
  <c r="K5" i="1"/>
  <c r="L5" i="1" s="1"/>
  <c r="M5" i="1"/>
  <c r="N5" i="1"/>
  <c r="K27" i="1"/>
  <c r="L27" i="1" s="1"/>
  <c r="M27" i="1"/>
  <c r="N27" i="1"/>
  <c r="K94" i="1"/>
  <c r="L94" i="1" s="1"/>
  <c r="M94" i="1"/>
  <c r="N94" i="1"/>
  <c r="K43" i="1"/>
  <c r="L43" i="1" s="1"/>
  <c r="M43" i="1"/>
  <c r="N43" i="1"/>
  <c r="K105" i="1"/>
  <c r="L105" i="1" s="1"/>
  <c r="M105" i="1"/>
  <c r="N105" i="1"/>
  <c r="K113" i="1"/>
  <c r="L113" i="1" s="1"/>
  <c r="M113" i="1"/>
  <c r="N113" i="1"/>
  <c r="K56" i="1"/>
  <c r="L56" i="1" s="1"/>
  <c r="M56" i="1"/>
  <c r="N56" i="1"/>
  <c r="K35" i="1"/>
  <c r="L35" i="1" s="1"/>
  <c r="M35" i="1"/>
  <c r="N35" i="1"/>
  <c r="K41" i="1"/>
  <c r="L41" i="1" s="1"/>
  <c r="M41" i="1"/>
  <c r="N41" i="1"/>
  <c r="K121" i="1"/>
  <c r="L121" i="1" s="1"/>
  <c r="M121" i="1"/>
  <c r="N121" i="1"/>
  <c r="K59" i="1"/>
  <c r="L59" i="1" s="1"/>
  <c r="M59" i="1"/>
  <c r="N59" i="1"/>
  <c r="K179" i="1"/>
  <c r="L179" i="1" s="1"/>
  <c r="M179" i="1"/>
  <c r="N179" i="1"/>
  <c r="K199" i="1"/>
  <c r="L199" i="1" s="1"/>
  <c r="M199" i="1"/>
  <c r="N199" i="1"/>
  <c r="K200" i="1"/>
  <c r="L200" i="1" s="1"/>
  <c r="M200" i="1"/>
  <c r="N200" i="1"/>
  <c r="K197" i="1"/>
  <c r="L197" i="1" s="1"/>
  <c r="M197" i="1"/>
  <c r="N197" i="1"/>
  <c r="K161" i="1"/>
  <c r="L161" i="1" s="1"/>
  <c r="M161" i="1"/>
  <c r="N161" i="1"/>
  <c r="K148" i="1"/>
  <c r="L148" i="1" s="1"/>
  <c r="M148" i="1"/>
  <c r="N148" i="1"/>
  <c r="K163" i="1"/>
  <c r="L163" i="1" s="1"/>
  <c r="M163" i="1"/>
  <c r="N163" i="1"/>
  <c r="K178" i="1"/>
  <c r="L178" i="1" s="1"/>
  <c r="M178" i="1"/>
  <c r="N178" i="1"/>
  <c r="K204" i="1"/>
  <c r="L204" i="1" s="1"/>
  <c r="M204" i="1"/>
  <c r="N204" i="1"/>
  <c r="K174" i="1"/>
  <c r="L174" i="1" s="1"/>
  <c r="M174" i="1"/>
  <c r="N174" i="1"/>
  <c r="K209" i="1"/>
  <c r="L209" i="1" s="1"/>
  <c r="M209" i="1"/>
  <c r="N209" i="1"/>
  <c r="K183" i="1"/>
  <c r="L183" i="1" s="1"/>
  <c r="M183" i="1"/>
  <c r="N183" i="1"/>
  <c r="K270" i="1"/>
  <c r="L270" i="1" s="1"/>
  <c r="M270" i="1"/>
  <c r="N270" i="1"/>
  <c r="K243" i="1"/>
  <c r="L243" i="1" s="1"/>
  <c r="M243" i="1"/>
  <c r="N243" i="1"/>
  <c r="K233" i="1"/>
  <c r="L233" i="1" s="1"/>
  <c r="M233" i="1"/>
  <c r="N233" i="1"/>
  <c r="K244" i="1"/>
  <c r="L244" i="1" s="1"/>
  <c r="M244" i="1"/>
  <c r="N244" i="1"/>
  <c r="K262" i="1"/>
  <c r="L262" i="1" s="1"/>
  <c r="M262" i="1"/>
  <c r="N262" i="1"/>
  <c r="K132" i="1"/>
  <c r="L132" i="1" s="1"/>
  <c r="M132" i="1"/>
  <c r="N132" i="1"/>
  <c r="K136" i="1"/>
  <c r="L136" i="1" s="1"/>
  <c r="M136" i="1"/>
  <c r="N136" i="1"/>
  <c r="K139" i="1"/>
  <c r="L139" i="1" s="1"/>
  <c r="M139" i="1"/>
  <c r="N139" i="1"/>
  <c r="K137" i="1"/>
  <c r="L137" i="1" s="1"/>
  <c r="M137" i="1"/>
  <c r="N137" i="1"/>
  <c r="K131" i="1"/>
  <c r="L131" i="1" s="1"/>
  <c r="M131" i="1"/>
  <c r="N131" i="1"/>
  <c r="K130" i="1"/>
  <c r="L130" i="1" s="1"/>
  <c r="M130" i="1"/>
  <c r="N130" i="1"/>
  <c r="K78" i="1"/>
  <c r="L78" i="1" s="1"/>
  <c r="M78" i="1"/>
  <c r="N78" i="1"/>
  <c r="K119" i="1"/>
  <c r="L119" i="1" s="1"/>
  <c r="M119" i="1"/>
  <c r="N119" i="1"/>
  <c r="K123" i="1"/>
  <c r="L123" i="1" s="1"/>
  <c r="M123" i="1"/>
  <c r="N123" i="1"/>
  <c r="K133" i="1"/>
  <c r="L133" i="1" s="1"/>
  <c r="M133" i="1"/>
  <c r="N133" i="1"/>
  <c r="K128" i="1"/>
  <c r="L128" i="1" s="1"/>
  <c r="M128" i="1"/>
  <c r="N128" i="1"/>
  <c r="K135" i="1"/>
  <c r="L135" i="1" s="1"/>
  <c r="M135" i="1"/>
  <c r="N135" i="1"/>
  <c r="K134" i="1"/>
  <c r="L134" i="1" s="1"/>
  <c r="M134" i="1"/>
  <c r="N134" i="1"/>
  <c r="K212" i="1"/>
  <c r="L212" i="1" s="1"/>
  <c r="M212" i="1"/>
  <c r="N212" i="1"/>
  <c r="K217" i="1"/>
  <c r="L217" i="1" s="1"/>
  <c r="M217" i="1"/>
  <c r="N217" i="1"/>
  <c r="K216" i="1"/>
  <c r="L216" i="1" s="1"/>
  <c r="M216" i="1"/>
  <c r="N216" i="1"/>
  <c r="K210" i="1"/>
  <c r="L210" i="1" s="1"/>
  <c r="M210" i="1"/>
  <c r="N210" i="1"/>
  <c r="K182" i="1"/>
  <c r="L182" i="1" s="1"/>
  <c r="M182" i="1"/>
  <c r="N182" i="1"/>
  <c r="K203" i="1"/>
  <c r="L203" i="1" s="1"/>
  <c r="M203" i="1"/>
  <c r="N203" i="1"/>
  <c r="K208" i="1"/>
  <c r="L208" i="1" s="1"/>
  <c r="M208" i="1"/>
  <c r="N208" i="1"/>
  <c r="K215" i="1"/>
  <c r="L215" i="1" s="1"/>
  <c r="M215" i="1"/>
  <c r="N215" i="1"/>
  <c r="K213" i="1"/>
  <c r="L213" i="1" s="1"/>
  <c r="M213" i="1"/>
  <c r="N213" i="1"/>
  <c r="K214" i="1"/>
  <c r="L214" i="1" s="1"/>
  <c r="M214" i="1"/>
  <c r="N214" i="1"/>
  <c r="K275" i="1"/>
  <c r="L275" i="1" s="1"/>
  <c r="M275" i="1"/>
  <c r="N275" i="1"/>
  <c r="K280" i="1"/>
  <c r="L280" i="1" s="1"/>
  <c r="M280" i="1"/>
  <c r="N280" i="1"/>
  <c r="K279" i="1"/>
  <c r="L279" i="1" s="1"/>
  <c r="M279" i="1"/>
  <c r="N279" i="1"/>
  <c r="K274" i="1"/>
  <c r="L274" i="1" s="1"/>
  <c r="M274" i="1"/>
  <c r="N274" i="1"/>
  <c r="K256" i="1"/>
  <c r="L256" i="1" s="1"/>
  <c r="M256" i="1"/>
  <c r="N256" i="1"/>
  <c r="K272" i="1"/>
  <c r="L272" i="1" s="1"/>
  <c r="M272" i="1"/>
  <c r="N272" i="1"/>
  <c r="K273" i="1"/>
  <c r="L273" i="1" s="1"/>
  <c r="M273" i="1"/>
  <c r="N273" i="1"/>
  <c r="K278" i="1"/>
  <c r="L278" i="1" s="1"/>
  <c r="M278" i="1"/>
  <c r="N278" i="1"/>
  <c r="K276" i="1"/>
  <c r="L276" i="1" s="1"/>
  <c r="M276" i="1"/>
  <c r="N276" i="1"/>
  <c r="K277" i="1"/>
  <c r="L277" i="1" s="1"/>
  <c r="M277" i="1"/>
  <c r="N277" i="1"/>
  <c r="K87" i="1"/>
  <c r="L87" i="1" s="1"/>
  <c r="M87" i="1"/>
  <c r="N87" i="1"/>
  <c r="K142" i="1"/>
  <c r="L142" i="1" s="1"/>
  <c r="M142" i="1"/>
  <c r="N142" i="1"/>
  <c r="K192" i="1"/>
  <c r="L192" i="1" s="1"/>
  <c r="M192" i="1"/>
  <c r="N192" i="1"/>
  <c r="K263" i="1"/>
  <c r="L263" i="1" s="1"/>
  <c r="M263" i="1"/>
  <c r="N263" i="1"/>
  <c r="K9" i="1"/>
  <c r="L9" i="1" s="1"/>
  <c r="M9" i="1"/>
  <c r="N9" i="1"/>
  <c r="K6" i="1"/>
  <c r="L6" i="1" s="1"/>
  <c r="M6" i="1"/>
  <c r="N6" i="1"/>
  <c r="K4" i="1"/>
  <c r="L4" i="1" s="1"/>
  <c r="M4" i="1"/>
  <c r="N4" i="1"/>
  <c r="K146" i="1"/>
  <c r="L146" i="1" s="1"/>
  <c r="M146" i="1"/>
  <c r="N146" i="1"/>
  <c r="K147" i="1"/>
  <c r="L147" i="1" s="1"/>
  <c r="M147" i="1"/>
  <c r="N147" i="1"/>
  <c r="K144" i="1"/>
  <c r="L144" i="1" s="1"/>
  <c r="M144" i="1"/>
  <c r="N144" i="1"/>
  <c r="K222" i="1"/>
  <c r="L222" i="1" s="1"/>
  <c r="M222" i="1"/>
  <c r="N222" i="1"/>
  <c r="K224" i="1"/>
  <c r="L224" i="1" s="1"/>
  <c r="M224" i="1"/>
  <c r="N224" i="1"/>
  <c r="K218" i="1"/>
  <c r="L218" i="1" s="1"/>
  <c r="M218" i="1"/>
  <c r="N218" i="1"/>
  <c r="K52" i="1"/>
  <c r="L52" i="1" s="1"/>
  <c r="M52" i="1"/>
  <c r="N52" i="1"/>
  <c r="K180" i="1"/>
  <c r="L180" i="1" s="1"/>
  <c r="M180" i="1"/>
  <c r="N180" i="1"/>
  <c r="K242" i="1"/>
  <c r="L242" i="1" s="1"/>
  <c r="M242" i="1"/>
  <c r="N242" i="1"/>
  <c r="K84" i="1"/>
  <c r="L84" i="1" s="1"/>
  <c r="M84" i="1"/>
  <c r="N84" i="1"/>
  <c r="K176" i="1"/>
  <c r="L176" i="1" s="1"/>
  <c r="M176" i="1"/>
  <c r="N176" i="1"/>
  <c r="K249" i="1"/>
  <c r="L249" i="1" s="1"/>
  <c r="M249" i="1"/>
  <c r="N249" i="1"/>
  <c r="K7" i="1"/>
  <c r="L7" i="1" s="1"/>
  <c r="M7" i="1"/>
  <c r="N7" i="1"/>
  <c r="K3" i="1"/>
  <c r="L3" i="1" s="1"/>
  <c r="M3" i="1"/>
  <c r="N3" i="1"/>
  <c r="K145" i="1"/>
  <c r="L145" i="1" s="1"/>
  <c r="M145" i="1"/>
  <c r="N145" i="1"/>
  <c r="K143" i="1"/>
  <c r="L143" i="1" s="1"/>
  <c r="M143" i="1"/>
  <c r="N143" i="1"/>
  <c r="E59" i="4"/>
  <c r="N47" i="1"/>
  <c r="M47" i="1"/>
  <c r="K47" i="1"/>
  <c r="M4" i="14"/>
  <c r="E103" i="8"/>
  <c r="I21" i="14" l="1"/>
  <c r="J21" i="14"/>
  <c r="M7" i="14"/>
  <c r="J7" i="14"/>
  <c r="M6" i="14"/>
  <c r="J6" i="14"/>
  <c r="E39" i="7"/>
  <c r="E38" i="7"/>
  <c r="E37" i="7"/>
  <c r="O10" i="13"/>
  <c r="J10" i="13"/>
  <c r="K10" i="13" s="1"/>
  <c r="E28" i="13"/>
  <c r="E27" i="13"/>
  <c r="E102" i="8"/>
  <c r="E101" i="8"/>
  <c r="J94" i="8"/>
  <c r="K94" i="8" s="1"/>
  <c r="J95" i="8"/>
  <c r="K95" i="8" s="1"/>
  <c r="J96" i="8"/>
  <c r="K96" i="8" s="1"/>
  <c r="J97" i="8"/>
  <c r="K97" i="8" s="1"/>
  <c r="K45" i="7" l="1"/>
  <c r="K44" i="7"/>
  <c r="G43" i="7"/>
  <c r="K43" i="7"/>
  <c r="G44" i="7"/>
  <c r="K6" i="14"/>
  <c r="H15" i="14" s="1"/>
  <c r="L6" i="14" s="1"/>
  <c r="L15" i="14"/>
  <c r="K7" i="14"/>
  <c r="H20" i="14" s="1"/>
  <c r="I20" i="14" s="1"/>
  <c r="L23" i="14"/>
  <c r="L20" i="14"/>
  <c r="J93" i="8"/>
  <c r="K93" i="8" s="1"/>
  <c r="J92" i="8"/>
  <c r="K92" i="8" s="1"/>
  <c r="J91" i="8"/>
  <c r="K91" i="8" s="1"/>
  <c r="J90" i="8"/>
  <c r="K90" i="8" s="1"/>
  <c r="J89" i="8"/>
  <c r="K89" i="8" s="1"/>
  <c r="J88" i="8"/>
  <c r="K88" i="8" s="1"/>
  <c r="J87" i="8"/>
  <c r="K87" i="8" s="1"/>
  <c r="J86" i="8"/>
  <c r="K86" i="8" s="1"/>
  <c r="J85" i="8"/>
  <c r="K85" i="8" s="1"/>
  <c r="J84" i="8"/>
  <c r="K84" i="8" s="1"/>
  <c r="J83" i="8"/>
  <c r="K83" i="8" s="1"/>
  <c r="J82" i="8"/>
  <c r="K82" i="8" s="1"/>
  <c r="J81" i="8"/>
  <c r="K81" i="8" s="1"/>
  <c r="J80" i="8"/>
  <c r="K80" i="8" s="1"/>
  <c r="J79" i="8"/>
  <c r="K79" i="8" s="1"/>
  <c r="J78" i="8"/>
  <c r="K78" i="8" s="1"/>
  <c r="J77" i="8"/>
  <c r="K77" i="8" s="1"/>
  <c r="J76" i="8"/>
  <c r="K76" i="8" s="1"/>
  <c r="J75" i="8"/>
  <c r="K75" i="8" s="1"/>
  <c r="J74" i="8"/>
  <c r="K74" i="8" s="1"/>
  <c r="J73" i="8"/>
  <c r="K73" i="8" s="1"/>
  <c r="J72" i="8"/>
  <c r="K72" i="8" s="1"/>
  <c r="J71" i="8"/>
  <c r="K71" i="8" s="1"/>
  <c r="J70" i="8"/>
  <c r="K70" i="8" s="1"/>
  <c r="J69" i="8"/>
  <c r="K69" i="8" s="1"/>
  <c r="J68" i="8"/>
  <c r="K68" i="8" s="1"/>
  <c r="J67" i="8"/>
  <c r="K67" i="8" s="1"/>
  <c r="J66" i="8"/>
  <c r="K66" i="8" s="1"/>
  <c r="J65" i="8"/>
  <c r="K65" i="8" s="1"/>
  <c r="J64" i="8"/>
  <c r="K64" i="8" s="1"/>
  <c r="J63" i="8"/>
  <c r="K63" i="8" s="1"/>
  <c r="J62" i="8"/>
  <c r="K62" i="8" s="1"/>
  <c r="J61" i="8"/>
  <c r="O15" i="13"/>
  <c r="O14" i="13"/>
  <c r="J16" i="13"/>
  <c r="K16" i="13" s="1"/>
  <c r="J15" i="13"/>
  <c r="K15" i="13" s="1"/>
  <c r="J14" i="13"/>
  <c r="O6" i="13"/>
  <c r="L12" i="12"/>
  <c r="H12" i="12"/>
  <c r="L11" i="12"/>
  <c r="H11" i="12"/>
  <c r="L10" i="12"/>
  <c r="F12" i="12"/>
  <c r="F11" i="12"/>
  <c r="F10" i="12"/>
  <c r="O4" i="11"/>
  <c r="E17" i="11"/>
  <c r="E16" i="11"/>
  <c r="E15" i="11"/>
  <c r="E21" i="9"/>
  <c r="E20" i="9"/>
  <c r="E19" i="9"/>
  <c r="E17" i="10"/>
  <c r="E16" i="10"/>
  <c r="E15" i="10"/>
  <c r="O39" i="4"/>
  <c r="O4" i="4"/>
  <c r="E61" i="4"/>
  <c r="E60" i="4"/>
  <c r="K23" i="11" l="1"/>
  <c r="K22" i="11"/>
  <c r="K21" i="11"/>
  <c r="G21" i="11"/>
  <c r="G22" i="11"/>
  <c r="G23" i="11"/>
  <c r="K21" i="10"/>
  <c r="K22" i="10"/>
  <c r="K23" i="10"/>
  <c r="G22" i="10"/>
  <c r="G23" i="10"/>
  <c r="G21" i="10"/>
  <c r="H44" i="7"/>
  <c r="N10" i="7"/>
  <c r="N9" i="7"/>
  <c r="N25" i="7"/>
  <c r="N21" i="7"/>
  <c r="N23" i="7"/>
  <c r="N8" i="7"/>
  <c r="N24" i="7"/>
  <c r="N20" i="7"/>
  <c r="N22" i="7"/>
  <c r="J44" i="7"/>
  <c r="I44" i="7"/>
  <c r="N5" i="7"/>
  <c r="N7" i="7"/>
  <c r="N17" i="7"/>
  <c r="N19" i="7"/>
  <c r="N15" i="7"/>
  <c r="N4" i="7"/>
  <c r="N6" i="7"/>
  <c r="N16" i="7"/>
  <c r="N14" i="7"/>
  <c r="H43" i="7"/>
  <c r="N18" i="7"/>
  <c r="J43" i="7"/>
  <c r="I43" i="7"/>
  <c r="N28" i="7"/>
  <c r="N30" i="7"/>
  <c r="N11" i="7"/>
  <c r="N13" i="7"/>
  <c r="N27" i="7"/>
  <c r="N26" i="7"/>
  <c r="N29" i="7"/>
  <c r="N12" i="7"/>
  <c r="J45" i="7"/>
  <c r="H45" i="7"/>
  <c r="I45" i="7"/>
  <c r="K14" i="13"/>
  <c r="K61" i="8"/>
  <c r="O9" i="13"/>
  <c r="O11" i="13"/>
  <c r="J9" i="13"/>
  <c r="J6" i="13"/>
  <c r="J22" i="11" l="1"/>
  <c r="H22" i="11"/>
  <c r="I22" i="11"/>
  <c r="N6" i="11"/>
  <c r="N7" i="11"/>
  <c r="N4" i="11"/>
  <c r="J21" i="11"/>
  <c r="N5" i="11"/>
  <c r="I21" i="11"/>
  <c r="H21" i="11"/>
  <c r="H23" i="11"/>
  <c r="J23" i="11"/>
  <c r="I23" i="11"/>
  <c r="N9" i="11"/>
  <c r="N8" i="11"/>
  <c r="H21" i="10"/>
  <c r="I21" i="10"/>
  <c r="N7" i="10"/>
  <c r="J21" i="10"/>
  <c r="N4" i="10"/>
  <c r="H23" i="10"/>
  <c r="J23" i="10"/>
  <c r="I23" i="10"/>
  <c r="N9" i="10"/>
  <c r="N6" i="10"/>
  <c r="H22" i="10"/>
  <c r="N5" i="10"/>
  <c r="N8" i="10"/>
  <c r="J22" i="10"/>
  <c r="I22" i="10"/>
  <c r="K9" i="13"/>
  <c r="K6" i="13"/>
  <c r="J51" i="4"/>
  <c r="K51" i="4" s="1"/>
  <c r="J4" i="9" l="1"/>
  <c r="E15" i="14" l="1"/>
  <c r="E14" i="14"/>
  <c r="E13" i="14"/>
  <c r="I12" i="12"/>
  <c r="K11" i="12"/>
  <c r="J5" i="13"/>
  <c r="J8" i="13"/>
  <c r="K8" i="13" s="1"/>
  <c r="J7" i="13"/>
  <c r="J12" i="13"/>
  <c r="K12" i="13" s="1"/>
  <c r="J11" i="13"/>
  <c r="J13" i="13"/>
  <c r="K29" i="13" s="1"/>
  <c r="J4" i="13"/>
  <c r="J5" i="14"/>
  <c r="L14" i="14" s="1"/>
  <c r="M5" i="14"/>
  <c r="O5" i="13"/>
  <c r="O12" i="13"/>
  <c r="O8" i="13"/>
  <c r="O6" i="9"/>
  <c r="O9" i="9"/>
  <c r="O12" i="9"/>
  <c r="J6" i="9"/>
  <c r="K6" i="9" s="1"/>
  <c r="J9" i="9"/>
  <c r="K9" i="9" s="1"/>
  <c r="J12" i="9"/>
  <c r="K12" i="9" s="1"/>
  <c r="J42" i="8"/>
  <c r="K42" i="8" s="1"/>
  <c r="J43" i="8"/>
  <c r="K43" i="8" s="1"/>
  <c r="J17" i="8"/>
  <c r="K17" i="8" s="1"/>
  <c r="K26" i="13" l="1"/>
  <c r="K30" i="13"/>
  <c r="K5" i="13"/>
  <c r="K27" i="13"/>
  <c r="K13" i="13"/>
  <c r="K28" i="13"/>
  <c r="K5" i="14"/>
  <c r="I15" i="14"/>
  <c r="J12" i="12"/>
  <c r="K12" i="12"/>
  <c r="I11" i="12"/>
  <c r="J11" i="12"/>
  <c r="M4" i="15"/>
  <c r="J4" i="15"/>
  <c r="J4" i="14"/>
  <c r="K7" i="13"/>
  <c r="O13" i="13"/>
  <c r="O7" i="13"/>
  <c r="O4" i="13"/>
  <c r="K4" i="13"/>
  <c r="K11" i="13"/>
  <c r="M4" i="12"/>
  <c r="J4" i="12"/>
  <c r="O9" i="11"/>
  <c r="J9" i="11"/>
  <c r="K9" i="11" s="1"/>
  <c r="O7" i="11"/>
  <c r="J7" i="11"/>
  <c r="K7" i="11" s="1"/>
  <c r="O5" i="11"/>
  <c r="J5" i="11"/>
  <c r="K5" i="11" s="1"/>
  <c r="O8" i="11"/>
  <c r="J8" i="11"/>
  <c r="O6" i="11"/>
  <c r="J6" i="11"/>
  <c r="J4" i="11"/>
  <c r="J6" i="10"/>
  <c r="J9" i="10"/>
  <c r="K9" i="10" s="1"/>
  <c r="J8" i="10"/>
  <c r="K8" i="10" s="1"/>
  <c r="J5" i="10"/>
  <c r="J7" i="10"/>
  <c r="J4" i="10"/>
  <c r="O11" i="9"/>
  <c r="J11" i="9"/>
  <c r="K11" i="9" s="1"/>
  <c r="O8" i="9"/>
  <c r="J8" i="9"/>
  <c r="K8" i="9" s="1"/>
  <c r="O5" i="9"/>
  <c r="J5" i="9"/>
  <c r="O10" i="9"/>
  <c r="J10" i="9"/>
  <c r="O7" i="9"/>
  <c r="J7" i="9"/>
  <c r="O4" i="9"/>
  <c r="J41" i="8"/>
  <c r="K41" i="8" s="1"/>
  <c r="J40" i="8"/>
  <c r="K40" i="8" s="1"/>
  <c r="J39" i="8"/>
  <c r="K39" i="8" s="1"/>
  <c r="J38" i="8"/>
  <c r="K38" i="8" s="1"/>
  <c r="J37" i="8"/>
  <c r="K37" i="8" s="1"/>
  <c r="J36" i="8"/>
  <c r="K36" i="8" s="1"/>
  <c r="J35" i="8"/>
  <c r="K35" i="8" s="1"/>
  <c r="J34" i="8"/>
  <c r="K34" i="8" s="1"/>
  <c r="J33" i="8"/>
  <c r="K33" i="8" s="1"/>
  <c r="J32" i="8"/>
  <c r="K32" i="8" s="1"/>
  <c r="J31" i="8"/>
  <c r="K31" i="8" s="1"/>
  <c r="J30" i="8"/>
  <c r="K30" i="8" s="1"/>
  <c r="J29" i="8"/>
  <c r="K29" i="8" s="1"/>
  <c r="J28" i="8"/>
  <c r="K28" i="8" s="1"/>
  <c r="J27" i="8"/>
  <c r="K27" i="8" s="1"/>
  <c r="J26" i="8"/>
  <c r="J25" i="8"/>
  <c r="K25" i="8" s="1"/>
  <c r="J60" i="8"/>
  <c r="K60" i="8" s="1"/>
  <c r="J24" i="8"/>
  <c r="K24" i="8" s="1"/>
  <c r="J23" i="8"/>
  <c r="K23" i="8" s="1"/>
  <c r="J59" i="8"/>
  <c r="K59" i="8" s="1"/>
  <c r="J22" i="8"/>
  <c r="K22" i="8" s="1"/>
  <c r="J58" i="8"/>
  <c r="K58" i="8" s="1"/>
  <c r="J21" i="8"/>
  <c r="K21" i="8" s="1"/>
  <c r="J20" i="8"/>
  <c r="K20" i="8" s="1"/>
  <c r="J57" i="8"/>
  <c r="K57" i="8" s="1"/>
  <c r="J19" i="8"/>
  <c r="J56" i="8"/>
  <c r="K56" i="8" s="1"/>
  <c r="J18" i="8"/>
  <c r="K18" i="8" s="1"/>
  <c r="J55" i="8"/>
  <c r="K55" i="8" s="1"/>
  <c r="J16" i="8"/>
  <c r="K16" i="8" s="1"/>
  <c r="J54" i="8"/>
  <c r="K54" i="8" s="1"/>
  <c r="J15" i="8"/>
  <c r="K15" i="8" s="1"/>
  <c r="J53" i="8"/>
  <c r="K53" i="8" s="1"/>
  <c r="J14" i="8"/>
  <c r="K14" i="8" s="1"/>
  <c r="J52" i="8"/>
  <c r="K52" i="8" s="1"/>
  <c r="J13" i="8"/>
  <c r="K13" i="8" s="1"/>
  <c r="J51" i="8"/>
  <c r="K51" i="8" s="1"/>
  <c r="J12" i="8"/>
  <c r="J50" i="8"/>
  <c r="K50" i="8" s="1"/>
  <c r="J11" i="8"/>
  <c r="K11" i="8" s="1"/>
  <c r="J10" i="8"/>
  <c r="K10" i="8" s="1"/>
  <c r="J9" i="8"/>
  <c r="K9" i="8" s="1"/>
  <c r="J49" i="8"/>
  <c r="K49" i="8" s="1"/>
  <c r="J8" i="8"/>
  <c r="K8" i="8" s="1"/>
  <c r="J48" i="8"/>
  <c r="K48" i="8" s="1"/>
  <c r="J47" i="8"/>
  <c r="K47" i="8" s="1"/>
  <c r="J7" i="8"/>
  <c r="K7" i="8" s="1"/>
  <c r="J46" i="8"/>
  <c r="K46" i="8" s="1"/>
  <c r="J6" i="8"/>
  <c r="K6" i="8" s="1"/>
  <c r="J45" i="8"/>
  <c r="K45" i="8" s="1"/>
  <c r="J5" i="8"/>
  <c r="K5" i="8" s="1"/>
  <c r="J44" i="8"/>
  <c r="J4" i="8"/>
  <c r="O16" i="4"/>
  <c r="O17" i="4"/>
  <c r="O19" i="4"/>
  <c r="O20" i="4"/>
  <c r="O21" i="4"/>
  <c r="O22" i="4"/>
  <c r="O23" i="4"/>
  <c r="O24" i="4"/>
  <c r="O25" i="4"/>
  <c r="O26" i="4"/>
  <c r="O27" i="4"/>
  <c r="O28" i="4"/>
  <c r="O29" i="4"/>
  <c r="J16" i="4"/>
  <c r="K16" i="4" s="1"/>
  <c r="J17" i="4"/>
  <c r="K17" i="4" s="1"/>
  <c r="J19" i="4"/>
  <c r="K19" i="4" s="1"/>
  <c r="J20" i="4"/>
  <c r="K20" i="4" s="1"/>
  <c r="J21" i="4"/>
  <c r="K21" i="4" s="1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8" i="4"/>
  <c r="K28" i="4" s="1"/>
  <c r="J29" i="4"/>
  <c r="O25" i="7"/>
  <c r="J25" i="7"/>
  <c r="K25" i="7" s="1"/>
  <c r="O15" i="7"/>
  <c r="J15" i="7"/>
  <c r="K15" i="7" s="1"/>
  <c r="O24" i="7"/>
  <c r="J24" i="7"/>
  <c r="K24" i="7" s="1"/>
  <c r="O14" i="7"/>
  <c r="J14" i="7"/>
  <c r="O23" i="7"/>
  <c r="J23" i="7"/>
  <c r="K23" i="7" s="1"/>
  <c r="O13" i="7"/>
  <c r="J13" i="7"/>
  <c r="K13" i="7" s="1"/>
  <c r="O30" i="7"/>
  <c r="J30" i="7"/>
  <c r="K30" i="7" s="1"/>
  <c r="O22" i="7"/>
  <c r="J22" i="7"/>
  <c r="K22" i="7" s="1"/>
  <c r="O21" i="7"/>
  <c r="J21" i="7"/>
  <c r="K21" i="7" s="1"/>
  <c r="O12" i="7"/>
  <c r="J12" i="7"/>
  <c r="K12" i="7" s="1"/>
  <c r="O11" i="7"/>
  <c r="J11" i="7"/>
  <c r="O10" i="7"/>
  <c r="J10" i="7"/>
  <c r="K10" i="7" s="1"/>
  <c r="O20" i="7"/>
  <c r="J20" i="7"/>
  <c r="K20" i="7" s="1"/>
  <c r="O9" i="7"/>
  <c r="J9" i="7"/>
  <c r="K9" i="7" s="1"/>
  <c r="O29" i="7"/>
  <c r="J29" i="7"/>
  <c r="K29" i="7" s="1"/>
  <c r="O19" i="7"/>
  <c r="J19" i="7"/>
  <c r="K19" i="7" s="1"/>
  <c r="O8" i="7"/>
  <c r="J8" i="7"/>
  <c r="O28" i="7"/>
  <c r="J28" i="7"/>
  <c r="K28" i="7" s="1"/>
  <c r="O18" i="7"/>
  <c r="J18" i="7"/>
  <c r="K18" i="7" s="1"/>
  <c r="O7" i="7"/>
  <c r="J7" i="7"/>
  <c r="K7" i="7" s="1"/>
  <c r="O6" i="7"/>
  <c r="J6" i="7"/>
  <c r="K6" i="7" s="1"/>
  <c r="O27" i="7"/>
  <c r="J27" i="7"/>
  <c r="K27" i="7" s="1"/>
  <c r="O17" i="7"/>
  <c r="J17" i="7"/>
  <c r="K17" i="7" s="1"/>
  <c r="O5" i="7"/>
  <c r="J5" i="7"/>
  <c r="K5" i="7" s="1"/>
  <c r="O26" i="7"/>
  <c r="J26" i="7"/>
  <c r="O16" i="7"/>
  <c r="J16" i="7"/>
  <c r="O4" i="7"/>
  <c r="J4" i="7"/>
  <c r="O31" i="6"/>
  <c r="J31" i="6"/>
  <c r="K31" i="6" s="1"/>
  <c r="O30" i="6"/>
  <c r="J30" i="6"/>
  <c r="K30" i="6" s="1"/>
  <c r="O57" i="6"/>
  <c r="J57" i="6"/>
  <c r="K57" i="6" s="1"/>
  <c r="O29" i="6"/>
  <c r="J29" i="6"/>
  <c r="K29" i="6" s="1"/>
  <c r="O56" i="6"/>
  <c r="J56" i="6"/>
  <c r="K56" i="6" s="1"/>
  <c r="O28" i="6"/>
  <c r="J28" i="6"/>
  <c r="K28" i="6" s="1"/>
  <c r="O55" i="6"/>
  <c r="J55" i="6"/>
  <c r="K55" i="6" s="1"/>
  <c r="O54" i="6"/>
  <c r="J54" i="6"/>
  <c r="K54" i="6" s="1"/>
  <c r="O27" i="6"/>
  <c r="J27" i="6"/>
  <c r="K27" i="6" s="1"/>
  <c r="O26" i="6"/>
  <c r="J26" i="6"/>
  <c r="O53" i="6"/>
  <c r="J53" i="6"/>
  <c r="K53" i="6" s="1"/>
  <c r="O25" i="6"/>
  <c r="J25" i="6"/>
  <c r="K25" i="6" s="1"/>
  <c r="O52" i="6"/>
  <c r="J52" i="6"/>
  <c r="K52" i="6" s="1"/>
  <c r="O24" i="6"/>
  <c r="J24" i="6"/>
  <c r="K24" i="6" s="1"/>
  <c r="O51" i="6"/>
  <c r="J51" i="6"/>
  <c r="K51" i="6" s="1"/>
  <c r="O23" i="6"/>
  <c r="J23" i="6"/>
  <c r="K23" i="6" s="1"/>
  <c r="O50" i="6"/>
  <c r="J50" i="6"/>
  <c r="K50" i="6" s="1"/>
  <c r="O22" i="6"/>
  <c r="J22" i="6"/>
  <c r="K22" i="6" s="1"/>
  <c r="O73" i="6"/>
  <c r="J73" i="6"/>
  <c r="K73" i="6" s="1"/>
  <c r="O49" i="6"/>
  <c r="J49" i="6"/>
  <c r="K49" i="6" s="1"/>
  <c r="O21" i="6"/>
  <c r="J21" i="6"/>
  <c r="K21" i="6" s="1"/>
  <c r="O48" i="6"/>
  <c r="J48" i="6"/>
  <c r="K48" i="6" s="1"/>
  <c r="O20" i="6"/>
  <c r="J20" i="6"/>
  <c r="K20" i="6" s="1"/>
  <c r="O72" i="6"/>
  <c r="J72" i="6"/>
  <c r="K72" i="6" s="1"/>
  <c r="O47" i="6"/>
  <c r="J47" i="6"/>
  <c r="O19" i="6"/>
  <c r="J19" i="6"/>
  <c r="K19" i="6" s="1"/>
  <c r="O46" i="6"/>
  <c r="J46" i="6"/>
  <c r="K46" i="6" s="1"/>
  <c r="O18" i="6"/>
  <c r="J18" i="6"/>
  <c r="K18" i="6" s="1"/>
  <c r="O71" i="6"/>
  <c r="J71" i="6"/>
  <c r="K71" i="6" s="1"/>
  <c r="O45" i="6"/>
  <c r="J45" i="6"/>
  <c r="K45" i="6" s="1"/>
  <c r="O17" i="6"/>
  <c r="J17" i="6"/>
  <c r="K17" i="6" s="1"/>
  <c r="O70" i="6"/>
  <c r="J70" i="6"/>
  <c r="K70" i="6" s="1"/>
  <c r="O44" i="6"/>
  <c r="J44" i="6"/>
  <c r="K44" i="6" s="1"/>
  <c r="O16" i="6"/>
  <c r="J16" i="6"/>
  <c r="K16" i="6" s="1"/>
  <c r="O69" i="6"/>
  <c r="J69" i="6"/>
  <c r="K69" i="6" s="1"/>
  <c r="O43" i="6"/>
  <c r="J43" i="6"/>
  <c r="K43" i="6" s="1"/>
  <c r="O15" i="6"/>
  <c r="J15" i="6"/>
  <c r="K15" i="6" s="1"/>
  <c r="O68" i="6"/>
  <c r="J68" i="6"/>
  <c r="K68" i="6" s="1"/>
  <c r="O42" i="6"/>
  <c r="J42" i="6"/>
  <c r="K42" i="6" s="1"/>
  <c r="O14" i="6"/>
  <c r="J14" i="6"/>
  <c r="K14" i="6" s="1"/>
  <c r="O67" i="6"/>
  <c r="J67" i="6"/>
  <c r="O41" i="6"/>
  <c r="J41" i="6"/>
  <c r="K41" i="6" s="1"/>
  <c r="O13" i="6"/>
  <c r="J13" i="6"/>
  <c r="K13" i="6" s="1"/>
  <c r="O66" i="6"/>
  <c r="J66" i="6"/>
  <c r="K66" i="6" s="1"/>
  <c r="O40" i="6"/>
  <c r="J40" i="6"/>
  <c r="K40" i="6" s="1"/>
  <c r="O12" i="6"/>
  <c r="J12" i="6"/>
  <c r="K12" i="6" s="1"/>
  <c r="O65" i="6"/>
  <c r="J65" i="6"/>
  <c r="K65" i="6" s="1"/>
  <c r="O39" i="6"/>
  <c r="J39" i="6"/>
  <c r="K39" i="6" s="1"/>
  <c r="O11" i="6"/>
  <c r="J11" i="6"/>
  <c r="K11" i="6" s="1"/>
  <c r="O64" i="6"/>
  <c r="J64" i="6"/>
  <c r="K64" i="6" s="1"/>
  <c r="O38" i="6"/>
  <c r="J38" i="6"/>
  <c r="K38" i="6" s="1"/>
  <c r="O10" i="6"/>
  <c r="J10" i="6"/>
  <c r="K10" i="6" s="1"/>
  <c r="O63" i="6"/>
  <c r="J63" i="6"/>
  <c r="K63" i="6" s="1"/>
  <c r="O62" i="6"/>
  <c r="J62" i="6"/>
  <c r="K62" i="6" s="1"/>
  <c r="O37" i="6"/>
  <c r="J37" i="6"/>
  <c r="K37" i="6" s="1"/>
  <c r="O36" i="6"/>
  <c r="J36" i="6"/>
  <c r="K36" i="6" s="1"/>
  <c r="O9" i="6"/>
  <c r="J9" i="6"/>
  <c r="K9" i="6" s="1"/>
  <c r="O8" i="6"/>
  <c r="J8" i="6"/>
  <c r="K8" i="6" s="1"/>
  <c r="O61" i="6"/>
  <c r="J61" i="6"/>
  <c r="K61" i="6" s="1"/>
  <c r="O35" i="6"/>
  <c r="J35" i="6"/>
  <c r="K35" i="6" s="1"/>
  <c r="O7" i="6"/>
  <c r="J7" i="6"/>
  <c r="K7" i="6" s="1"/>
  <c r="O60" i="6"/>
  <c r="J60" i="6"/>
  <c r="K60" i="6" s="1"/>
  <c r="O34" i="6"/>
  <c r="J34" i="6"/>
  <c r="K34" i="6" s="1"/>
  <c r="O6" i="6"/>
  <c r="J6" i="6"/>
  <c r="K6" i="6" s="1"/>
  <c r="O59" i="6"/>
  <c r="J59" i="6"/>
  <c r="K59" i="6" s="1"/>
  <c r="O33" i="6"/>
  <c r="J33" i="6"/>
  <c r="K33" i="6" s="1"/>
  <c r="O5" i="6"/>
  <c r="J5" i="6"/>
  <c r="K5" i="6" s="1"/>
  <c r="O58" i="6"/>
  <c r="J58" i="6"/>
  <c r="O32" i="6"/>
  <c r="J32" i="6"/>
  <c r="O4" i="6"/>
  <c r="J4" i="6"/>
  <c r="O5" i="4"/>
  <c r="O6" i="4"/>
  <c r="O7" i="4"/>
  <c r="O8" i="4"/>
  <c r="O9" i="4"/>
  <c r="O10" i="4"/>
  <c r="O11" i="4"/>
  <c r="O12" i="4"/>
  <c r="O13" i="4"/>
  <c r="O14" i="4"/>
  <c r="O15" i="4"/>
  <c r="O18" i="4"/>
  <c r="O30" i="4"/>
  <c r="O31" i="4"/>
  <c r="O32" i="4"/>
  <c r="O33" i="4"/>
  <c r="O34" i="4"/>
  <c r="O35" i="4"/>
  <c r="O36" i="4"/>
  <c r="O37" i="4"/>
  <c r="O38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J5" i="4"/>
  <c r="K5" i="4" s="1"/>
  <c r="J6" i="4"/>
  <c r="K6" i="4" s="1"/>
  <c r="J7" i="4"/>
  <c r="K7" i="4" s="1"/>
  <c r="J8" i="4"/>
  <c r="K8" i="4" s="1"/>
  <c r="J9" i="4"/>
  <c r="K9" i="4" s="1"/>
  <c r="J10" i="4"/>
  <c r="K10" i="4" s="1"/>
  <c r="J11" i="4"/>
  <c r="K11" i="4" s="1"/>
  <c r="J12" i="4"/>
  <c r="K12" i="4" s="1"/>
  <c r="J13" i="4"/>
  <c r="K13" i="4" s="1"/>
  <c r="J14" i="4"/>
  <c r="K14" i="4" s="1"/>
  <c r="J15" i="4"/>
  <c r="K15" i="4" s="1"/>
  <c r="J18" i="4"/>
  <c r="K18" i="4" s="1"/>
  <c r="J30" i="4"/>
  <c r="K30" i="4" s="1"/>
  <c r="J31" i="4"/>
  <c r="J32" i="4"/>
  <c r="J33" i="4"/>
  <c r="K33" i="4" s="1"/>
  <c r="J34" i="4"/>
  <c r="K34" i="4" s="1"/>
  <c r="J35" i="4"/>
  <c r="J36" i="4"/>
  <c r="K36" i="4" s="1"/>
  <c r="J37" i="4"/>
  <c r="K37" i="4" s="1"/>
  <c r="J38" i="4"/>
  <c r="K38" i="4" s="1"/>
  <c r="J39" i="4"/>
  <c r="J40" i="4"/>
  <c r="K40" i="4" s="1"/>
  <c r="J41" i="4"/>
  <c r="K41" i="4" s="1"/>
  <c r="J42" i="4"/>
  <c r="K42" i="4" s="1"/>
  <c r="J43" i="4"/>
  <c r="K43" i="4" s="1"/>
  <c r="J44" i="4"/>
  <c r="K44" i="4" s="1"/>
  <c r="J45" i="4"/>
  <c r="J46" i="4"/>
  <c r="K46" i="4" s="1"/>
  <c r="J47" i="4"/>
  <c r="K47" i="4" s="1"/>
  <c r="J48" i="4"/>
  <c r="K48" i="4" s="1"/>
  <c r="J49" i="4"/>
  <c r="K49" i="4" s="1"/>
  <c r="J50" i="4"/>
  <c r="K50" i="4" s="1"/>
  <c r="J52" i="4"/>
  <c r="K52" i="4" s="1"/>
  <c r="J53" i="4"/>
  <c r="K53" i="4" s="1"/>
  <c r="J54" i="4"/>
  <c r="K54" i="4" s="1"/>
  <c r="J55" i="4"/>
  <c r="K55" i="4" s="1"/>
  <c r="J4" i="4"/>
  <c r="K21" i="9" l="1"/>
  <c r="K20" i="9"/>
  <c r="K79" i="6"/>
  <c r="K78" i="6"/>
  <c r="K80" i="6"/>
  <c r="K77" i="6"/>
  <c r="G26" i="13"/>
  <c r="L4" i="13" s="1"/>
  <c r="K15" i="10"/>
  <c r="K4" i="15"/>
  <c r="L16" i="14"/>
  <c r="L13" i="14"/>
  <c r="K26" i="8"/>
  <c r="K14" i="7"/>
  <c r="K67" i="6"/>
  <c r="H14" i="14"/>
  <c r="K14" i="14" s="1"/>
  <c r="K35" i="4"/>
  <c r="K32" i="4"/>
  <c r="K29" i="4"/>
  <c r="K39" i="4"/>
  <c r="K45" i="4"/>
  <c r="K20" i="14"/>
  <c r="J20" i="14"/>
  <c r="K5" i="9"/>
  <c r="K19" i="9"/>
  <c r="G27" i="13"/>
  <c r="L5" i="13" s="1"/>
  <c r="G28" i="13"/>
  <c r="K102" i="8"/>
  <c r="K103" i="8"/>
  <c r="K4" i="8"/>
  <c r="K101" i="8"/>
  <c r="K104" i="8"/>
  <c r="K12" i="8"/>
  <c r="K19" i="8"/>
  <c r="G103" i="8" s="1"/>
  <c r="L97" i="8" s="1"/>
  <c r="K8" i="7"/>
  <c r="K38" i="7"/>
  <c r="K37" i="7"/>
  <c r="K11" i="7"/>
  <c r="K39" i="7"/>
  <c r="K15" i="11"/>
  <c r="K17" i="11"/>
  <c r="K16" i="11"/>
  <c r="K5" i="10"/>
  <c r="K16" i="10"/>
  <c r="K6" i="10"/>
  <c r="K17" i="10"/>
  <c r="K26" i="6"/>
  <c r="K47" i="6"/>
  <c r="K31" i="4"/>
  <c r="K60" i="4"/>
  <c r="K59" i="4"/>
  <c r="K15" i="14"/>
  <c r="J15" i="14"/>
  <c r="K10" i="9"/>
  <c r="K7" i="9"/>
  <c r="K40" i="7"/>
  <c r="K62" i="4"/>
  <c r="K4" i="9"/>
  <c r="K22" i="9"/>
  <c r="K4" i="14"/>
  <c r="K4" i="12"/>
  <c r="L13" i="12"/>
  <c r="K8" i="11"/>
  <c r="K4" i="11"/>
  <c r="K18" i="11"/>
  <c r="K6" i="11"/>
  <c r="K4" i="10"/>
  <c r="K7" i="10"/>
  <c r="K18" i="10"/>
  <c r="K16" i="7"/>
  <c r="K4" i="7"/>
  <c r="K26" i="7"/>
  <c r="K44" i="8"/>
  <c r="K4" i="6"/>
  <c r="G77" i="6" s="1"/>
  <c r="K58" i="6"/>
  <c r="K32" i="6"/>
  <c r="K4" i="4"/>
  <c r="L13" i="13" l="1"/>
  <c r="L16" i="13"/>
  <c r="G79" i="6"/>
  <c r="L73" i="6" s="1"/>
  <c r="G78" i="6"/>
  <c r="H77" i="6"/>
  <c r="J77" i="6"/>
  <c r="I77" i="6"/>
  <c r="I14" i="14"/>
  <c r="L5" i="14"/>
  <c r="H13" i="14"/>
  <c r="L4" i="14" s="1"/>
  <c r="J14" i="14"/>
  <c r="G16" i="10"/>
  <c r="L8" i="10" s="1"/>
  <c r="G17" i="10"/>
  <c r="L9" i="10" s="1"/>
  <c r="G21" i="9"/>
  <c r="G20" i="9"/>
  <c r="G19" i="9"/>
  <c r="G38" i="7"/>
  <c r="H28" i="13"/>
  <c r="J28" i="13"/>
  <c r="L11" i="13"/>
  <c r="L7" i="13"/>
  <c r="H27" i="13"/>
  <c r="J27" i="13"/>
  <c r="L6" i="13"/>
  <c r="I28" i="13"/>
  <c r="I27" i="13"/>
  <c r="L14" i="13"/>
  <c r="L9" i="13"/>
  <c r="L10" i="13"/>
  <c r="L15" i="13"/>
  <c r="L8" i="13"/>
  <c r="L12" i="13"/>
  <c r="G102" i="8"/>
  <c r="L96" i="8" s="1"/>
  <c r="G101" i="8"/>
  <c r="H103" i="8"/>
  <c r="G39" i="7"/>
  <c r="G37" i="7"/>
  <c r="G59" i="4"/>
  <c r="L4" i="4" s="1"/>
  <c r="G60" i="4"/>
  <c r="L31" i="4" s="1"/>
  <c r="G15" i="11"/>
  <c r="G17" i="11"/>
  <c r="L8" i="11" s="1"/>
  <c r="G16" i="11"/>
  <c r="L6" i="11" s="1"/>
  <c r="G15" i="10"/>
  <c r="L4" i="6"/>
  <c r="H26" i="13"/>
  <c r="I26" i="13"/>
  <c r="J26" i="13"/>
  <c r="I10" i="12"/>
  <c r="K10" i="12"/>
  <c r="J10" i="12"/>
  <c r="L4" i="11" l="1"/>
  <c r="K24" i="11"/>
  <c r="L7" i="10"/>
  <c r="L4" i="9"/>
  <c r="L7" i="9"/>
  <c r="K46" i="7"/>
  <c r="L16" i="7"/>
  <c r="H78" i="6"/>
  <c r="J78" i="6"/>
  <c r="I78" i="6"/>
  <c r="J79" i="6"/>
  <c r="I79" i="6"/>
  <c r="H79" i="6"/>
  <c r="K13" i="14"/>
  <c r="J13" i="14"/>
  <c r="I13" i="14"/>
  <c r="L7" i="14"/>
  <c r="K22" i="14"/>
  <c r="I22" i="14"/>
  <c r="J22" i="14"/>
  <c r="H16" i="11"/>
  <c r="I16" i="11"/>
  <c r="J16" i="11"/>
  <c r="I17" i="11"/>
  <c r="H17" i="10"/>
  <c r="J17" i="10"/>
  <c r="H16" i="10"/>
  <c r="L6" i="10"/>
  <c r="I17" i="10"/>
  <c r="L4" i="10"/>
  <c r="J16" i="10"/>
  <c r="I16" i="10"/>
  <c r="L5" i="10"/>
  <c r="H20" i="9"/>
  <c r="J20" i="9"/>
  <c r="I19" i="9"/>
  <c r="L6" i="9"/>
  <c r="L5" i="9"/>
  <c r="H19" i="9"/>
  <c r="J19" i="9"/>
  <c r="L12" i="9"/>
  <c r="L11" i="9"/>
  <c r="L9" i="9"/>
  <c r="L8" i="9"/>
  <c r="H21" i="9"/>
  <c r="I21" i="9"/>
  <c r="I20" i="9"/>
  <c r="J21" i="9"/>
  <c r="L10" i="9"/>
  <c r="L20" i="7"/>
  <c r="L24" i="7"/>
  <c r="L22" i="7"/>
  <c r="L23" i="7"/>
  <c r="L9" i="7"/>
  <c r="L25" i="7"/>
  <c r="L10" i="7"/>
  <c r="L21" i="7"/>
  <c r="I38" i="7"/>
  <c r="I37" i="7"/>
  <c r="L5" i="7"/>
  <c r="L15" i="7"/>
  <c r="L17" i="7"/>
  <c r="L18" i="7"/>
  <c r="L7" i="7"/>
  <c r="L6" i="7"/>
  <c r="L19" i="7"/>
  <c r="L14" i="7"/>
  <c r="L4" i="7"/>
  <c r="H39" i="7"/>
  <c r="L29" i="7"/>
  <c r="L12" i="7"/>
  <c r="L13" i="7"/>
  <c r="L30" i="7"/>
  <c r="L28" i="7"/>
  <c r="L27" i="7"/>
  <c r="L26" i="7"/>
  <c r="L8" i="7"/>
  <c r="J38" i="7"/>
  <c r="H38" i="7"/>
  <c r="L11" i="7"/>
  <c r="H102" i="8"/>
  <c r="L55" i="8"/>
  <c r="I102" i="8"/>
  <c r="L49" i="8"/>
  <c r="L17" i="8"/>
  <c r="L14" i="8"/>
  <c r="L46" i="8"/>
  <c r="L12" i="8"/>
  <c r="L18" i="8"/>
  <c r="L54" i="8"/>
  <c r="L16" i="8"/>
  <c r="J102" i="8"/>
  <c r="L15" i="8"/>
  <c r="L47" i="8"/>
  <c r="L44" i="8"/>
  <c r="L51" i="8"/>
  <c r="L52" i="8"/>
  <c r="L79" i="8"/>
  <c r="L74" i="8"/>
  <c r="L77" i="8"/>
  <c r="L83" i="8"/>
  <c r="L13" i="8"/>
  <c r="L53" i="8"/>
  <c r="L82" i="8"/>
  <c r="L45" i="8"/>
  <c r="L48" i="8"/>
  <c r="L81" i="8"/>
  <c r="L78" i="8"/>
  <c r="L76" i="8"/>
  <c r="L80" i="8"/>
  <c r="L75" i="8"/>
  <c r="L50" i="8"/>
  <c r="L95" i="8"/>
  <c r="L94" i="8"/>
  <c r="L4" i="8"/>
  <c r="L19" i="8"/>
  <c r="L87" i="8"/>
  <c r="L93" i="8"/>
  <c r="L91" i="8"/>
  <c r="L88" i="8"/>
  <c r="L92" i="8"/>
  <c r="L84" i="8"/>
  <c r="L85" i="8"/>
  <c r="L89" i="8"/>
  <c r="L90" i="8"/>
  <c r="L86" i="8"/>
  <c r="L73" i="8"/>
  <c r="L65" i="8"/>
  <c r="L71" i="8"/>
  <c r="L63" i="8"/>
  <c r="L64" i="8"/>
  <c r="L68" i="8"/>
  <c r="L66" i="8"/>
  <c r="L62" i="8"/>
  <c r="L72" i="8"/>
  <c r="L61" i="8"/>
  <c r="L70" i="8"/>
  <c r="L69" i="8"/>
  <c r="L67" i="8"/>
  <c r="I103" i="8"/>
  <c r="J103" i="8"/>
  <c r="H101" i="8"/>
  <c r="J101" i="8"/>
  <c r="I101" i="8"/>
  <c r="L59" i="8"/>
  <c r="L60" i="8"/>
  <c r="L58" i="8"/>
  <c r="L24" i="8"/>
  <c r="L25" i="8"/>
  <c r="L56" i="8"/>
  <c r="L21" i="8"/>
  <c r="L20" i="8"/>
  <c r="L22" i="8"/>
  <c r="L23" i="8"/>
  <c r="L57" i="8"/>
  <c r="L43" i="8"/>
  <c r="L42" i="8"/>
  <c r="L8" i="8"/>
  <c r="L30" i="8"/>
  <c r="L37" i="8"/>
  <c r="L33" i="8"/>
  <c r="L28" i="8"/>
  <c r="L9" i="8"/>
  <c r="L10" i="8"/>
  <c r="L29" i="8"/>
  <c r="L34" i="8"/>
  <c r="L5" i="8"/>
  <c r="L38" i="8"/>
  <c r="L32" i="8"/>
  <c r="L36" i="8"/>
  <c r="L6" i="8"/>
  <c r="L7" i="8"/>
  <c r="L11" i="8"/>
  <c r="L27" i="8"/>
  <c r="L40" i="8"/>
  <c r="L31" i="8"/>
  <c r="L26" i="8"/>
  <c r="L39" i="8"/>
  <c r="L35" i="8"/>
  <c r="L41" i="8"/>
  <c r="H37" i="7"/>
  <c r="J37" i="7"/>
  <c r="I39" i="7"/>
  <c r="J39" i="7"/>
  <c r="L44" i="4"/>
  <c r="L34" i="4"/>
  <c r="L8" i="4"/>
  <c r="L29" i="4"/>
  <c r="L37" i="4"/>
  <c r="L28" i="4"/>
  <c r="L6" i="4"/>
  <c r="L25" i="4"/>
  <c r="L20" i="4"/>
  <c r="L24" i="4"/>
  <c r="L33" i="4"/>
  <c r="L26" i="4"/>
  <c r="L17" i="4"/>
  <c r="L16" i="4"/>
  <c r="L42" i="4"/>
  <c r="L21" i="4"/>
  <c r="L10" i="4"/>
  <c r="L22" i="4"/>
  <c r="L14" i="4"/>
  <c r="L40" i="4"/>
  <c r="L7" i="4"/>
  <c r="L30" i="4"/>
  <c r="L5" i="4"/>
  <c r="L18" i="4"/>
  <c r="L39" i="4"/>
  <c r="L9" i="4"/>
  <c r="L23" i="4"/>
  <c r="L41" i="4"/>
  <c r="L35" i="4"/>
  <c r="L13" i="4"/>
  <c r="L43" i="4"/>
  <c r="L12" i="4"/>
  <c r="L32" i="4"/>
  <c r="L15" i="4"/>
  <c r="L27" i="4"/>
  <c r="L38" i="4"/>
  <c r="L19" i="4"/>
  <c r="L36" i="4"/>
  <c r="L11" i="4"/>
  <c r="H15" i="11"/>
  <c r="L7" i="11"/>
  <c r="I15" i="11"/>
  <c r="H17" i="11"/>
  <c r="J15" i="11"/>
  <c r="L9" i="11"/>
  <c r="J17" i="11"/>
  <c r="L5" i="11"/>
  <c r="L25" i="6"/>
  <c r="L8" i="6"/>
  <c r="L16" i="6"/>
  <c r="L9" i="6"/>
  <c r="L6" i="6"/>
  <c r="L18" i="6"/>
  <c r="L69" i="6"/>
  <c r="L10" i="6"/>
  <c r="L20" i="6"/>
  <c r="L23" i="6"/>
  <c r="L19" i="6"/>
  <c r="L11" i="6"/>
  <c r="L21" i="6"/>
  <c r="L17" i="6"/>
  <c r="L67" i="6"/>
  <c r="L15" i="6"/>
  <c r="L12" i="6"/>
  <c r="L14" i="6"/>
  <c r="L68" i="6"/>
  <c r="L7" i="6"/>
  <c r="L5" i="6"/>
  <c r="L13" i="6"/>
  <c r="L24" i="6"/>
  <c r="L22" i="6"/>
  <c r="L39" i="6"/>
  <c r="L33" i="6"/>
  <c r="L70" i="6"/>
  <c r="L42" i="6"/>
  <c r="L30" i="6"/>
  <c r="L29" i="6"/>
  <c r="L38" i="6"/>
  <c r="L31" i="6"/>
  <c r="L28" i="6"/>
  <c r="L41" i="6"/>
  <c r="L35" i="6"/>
  <c r="L34" i="6"/>
  <c r="L44" i="6"/>
  <c r="L71" i="6"/>
  <c r="L43" i="6"/>
  <c r="L45" i="6"/>
  <c r="L40" i="6"/>
  <c r="L36" i="6"/>
  <c r="L46" i="6"/>
  <c r="L27" i="6"/>
  <c r="L37" i="6"/>
  <c r="L62" i="6"/>
  <c r="L72" i="6"/>
  <c r="L55" i="6"/>
  <c r="L63" i="6"/>
  <c r="L57" i="6"/>
  <c r="L56" i="6"/>
  <c r="L54" i="6"/>
  <c r="L59" i="6"/>
  <c r="L64" i="6"/>
  <c r="L60" i="6"/>
  <c r="L48" i="6"/>
  <c r="L49" i="6"/>
  <c r="L53" i="6"/>
  <c r="L66" i="6"/>
  <c r="L65" i="6"/>
  <c r="L52" i="6"/>
  <c r="L51" i="6"/>
  <c r="L50" i="6"/>
  <c r="L61" i="6"/>
  <c r="L58" i="6"/>
  <c r="L26" i="6"/>
  <c r="L47" i="6"/>
  <c r="L32" i="6"/>
  <c r="H59" i="4"/>
  <c r="I59" i="4"/>
  <c r="J59" i="4"/>
  <c r="L51" i="4"/>
  <c r="L45" i="4"/>
  <c r="L48" i="4"/>
  <c r="L53" i="4"/>
  <c r="L50" i="4"/>
  <c r="L52" i="4"/>
  <c r="L47" i="4"/>
  <c r="L55" i="4"/>
  <c r="L49" i="4"/>
  <c r="L46" i="4"/>
  <c r="L54" i="4"/>
  <c r="H60" i="4"/>
  <c r="I60" i="4"/>
  <c r="J60" i="4"/>
  <c r="K96" i="1" l="1"/>
  <c r="L96" i="1" s="1"/>
  <c r="M96" i="1"/>
  <c r="N96" i="1"/>
  <c r="K19" i="1"/>
  <c r="L19" i="1" s="1"/>
  <c r="M19" i="1"/>
  <c r="N19" i="1"/>
  <c r="K70" i="1"/>
  <c r="L70" i="1" s="1"/>
  <c r="M70" i="1"/>
  <c r="N70" i="1"/>
  <c r="K71" i="1"/>
  <c r="L71" i="1" s="1"/>
  <c r="M71" i="1"/>
  <c r="N71" i="1"/>
  <c r="K68" i="1"/>
  <c r="L68" i="1" s="1"/>
  <c r="M68" i="1"/>
  <c r="N68" i="1"/>
  <c r="K72" i="1"/>
  <c r="L72" i="1" s="1"/>
  <c r="M72" i="1"/>
  <c r="N72" i="1"/>
  <c r="K39" i="1"/>
  <c r="L39" i="1" s="1"/>
  <c r="M39" i="1"/>
  <c r="N39" i="1"/>
  <c r="K104" i="1"/>
  <c r="L104" i="1" s="1"/>
  <c r="M104" i="1"/>
  <c r="N104" i="1"/>
  <c r="K88" i="1"/>
  <c r="L88" i="1" s="1"/>
  <c r="M88" i="1"/>
  <c r="N88" i="1"/>
  <c r="K110" i="1"/>
  <c r="L110" i="1" s="1"/>
  <c r="M110" i="1"/>
  <c r="N110" i="1"/>
  <c r="K97" i="1"/>
  <c r="L97" i="1" s="1"/>
  <c r="M97" i="1"/>
  <c r="N97" i="1"/>
  <c r="K138" i="1"/>
  <c r="L138" i="1" s="1"/>
  <c r="M138" i="1"/>
  <c r="N138" i="1"/>
  <c r="K114" i="1"/>
  <c r="L114" i="1" s="1"/>
  <c r="M114" i="1"/>
  <c r="N114" i="1"/>
  <c r="K127" i="1"/>
  <c r="L127" i="1" s="1"/>
  <c r="M127" i="1"/>
  <c r="N127" i="1"/>
  <c r="K126" i="1"/>
  <c r="L126" i="1" s="1"/>
  <c r="M126" i="1"/>
  <c r="N126" i="1"/>
  <c r="K116" i="1"/>
  <c r="L116" i="1" s="1"/>
  <c r="M116" i="1"/>
  <c r="N116" i="1"/>
  <c r="K40" i="1"/>
  <c r="L40" i="1" s="1"/>
  <c r="M40" i="1"/>
  <c r="N40" i="1"/>
  <c r="K117" i="1"/>
  <c r="L117" i="1" s="1"/>
  <c r="M117" i="1"/>
  <c r="N117" i="1"/>
  <c r="K25" i="1"/>
  <c r="L25" i="1" s="1"/>
  <c r="M25" i="1"/>
  <c r="N25" i="1"/>
  <c r="K67" i="1"/>
  <c r="L67" i="1" s="1"/>
  <c r="M67" i="1"/>
  <c r="N67" i="1"/>
  <c r="K53" i="1"/>
  <c r="L53" i="1" s="1"/>
  <c r="M53" i="1"/>
  <c r="N53" i="1"/>
  <c r="K83" i="1"/>
  <c r="L83" i="1" s="1"/>
  <c r="M83" i="1"/>
  <c r="N83" i="1"/>
  <c r="K42" i="1"/>
  <c r="L42" i="1" s="1"/>
  <c r="M42" i="1"/>
  <c r="N42" i="1"/>
  <c r="K162" i="1"/>
  <c r="L162" i="1" s="1"/>
  <c r="M162" i="1"/>
  <c r="N162" i="1"/>
  <c r="K124" i="1"/>
  <c r="L124" i="1" s="1"/>
  <c r="M124" i="1"/>
  <c r="N124" i="1"/>
  <c r="K99" i="1"/>
  <c r="L99" i="1" s="1"/>
  <c r="M99" i="1"/>
  <c r="N99" i="1"/>
  <c r="K91" i="1"/>
  <c r="L91" i="1" s="1"/>
  <c r="M91" i="1"/>
  <c r="N91" i="1"/>
  <c r="K21" i="1"/>
  <c r="L21" i="1" s="1"/>
  <c r="M21" i="1"/>
  <c r="N21" i="1"/>
  <c r="K86" i="1"/>
  <c r="L86" i="1" s="1"/>
  <c r="M86" i="1"/>
  <c r="N86" i="1"/>
  <c r="K51" i="1"/>
  <c r="L51" i="1" s="1"/>
  <c r="M51" i="1"/>
  <c r="N51" i="1"/>
  <c r="K17" i="1"/>
  <c r="L17" i="1" s="1"/>
  <c r="M17" i="1"/>
  <c r="N17" i="1"/>
  <c r="K115" i="1"/>
  <c r="L115" i="1" s="1"/>
  <c r="M115" i="1"/>
  <c r="N115" i="1"/>
  <c r="K55" i="1"/>
  <c r="L55" i="1" s="1"/>
  <c r="M55" i="1"/>
  <c r="N55" i="1"/>
  <c r="K109" i="1"/>
  <c r="L109" i="1" s="1"/>
  <c r="M109" i="1"/>
  <c r="N109" i="1"/>
  <c r="K108" i="1"/>
  <c r="L108" i="1" s="1"/>
  <c r="M108" i="1"/>
  <c r="N108" i="1"/>
  <c r="K89" i="1"/>
  <c r="L89" i="1" s="1"/>
  <c r="M89" i="1"/>
  <c r="N89" i="1"/>
  <c r="K74" i="1"/>
  <c r="L74" i="1" s="1"/>
  <c r="M74" i="1"/>
  <c r="N74" i="1"/>
  <c r="K75" i="1"/>
  <c r="L75" i="1" s="1"/>
  <c r="M75" i="1"/>
  <c r="N75" i="1"/>
  <c r="K81" i="1"/>
  <c r="L81" i="1" s="1"/>
  <c r="M81" i="1"/>
  <c r="N81" i="1"/>
  <c r="K101" i="1"/>
  <c r="L101" i="1" s="1"/>
  <c r="M101" i="1"/>
  <c r="N101" i="1"/>
  <c r="K112" i="1"/>
  <c r="L112" i="1" s="1"/>
  <c r="M112" i="1"/>
  <c r="N112" i="1"/>
  <c r="K77" i="1"/>
  <c r="L77" i="1" s="1"/>
  <c r="M77" i="1"/>
  <c r="N77" i="1"/>
  <c r="K24" i="1"/>
  <c r="L24" i="1" s="1"/>
  <c r="M24" i="1"/>
  <c r="N24" i="1"/>
  <c r="K82" i="1"/>
  <c r="L82" i="1" s="1"/>
  <c r="M82" i="1"/>
  <c r="N82" i="1"/>
  <c r="K100" i="1"/>
  <c r="L100" i="1" s="1"/>
  <c r="M100" i="1"/>
  <c r="N100" i="1"/>
  <c r="K118" i="1"/>
  <c r="L118" i="1" s="1"/>
  <c r="M118" i="1"/>
  <c r="N118" i="1"/>
  <c r="N54" i="1"/>
  <c r="M54" i="1"/>
  <c r="K54" i="1"/>
  <c r="L54" i="1" s="1"/>
  <c r="N58" i="1" l="1"/>
  <c r="N34" i="1"/>
  <c r="N33" i="1"/>
  <c r="N79" i="1"/>
  <c r="M58" i="1"/>
  <c r="M34" i="1"/>
  <c r="M33" i="1"/>
  <c r="M79" i="1"/>
  <c r="K58" i="1"/>
  <c r="L58" i="1" s="1"/>
  <c r="K34" i="1"/>
  <c r="L34" i="1" s="1"/>
  <c r="K33" i="1"/>
  <c r="L33" i="1" s="1"/>
  <c r="K79" i="1"/>
  <c r="L79" i="1" s="1"/>
  <c r="L47" i="1"/>
  <c r="I15" i="10"/>
  <c r="H15" i="10"/>
  <c r="J15" i="10"/>
  <c r="G65" i="4"/>
  <c r="N25" i="4" l="1"/>
  <c r="N32" i="4"/>
  <c r="N8" i="4"/>
  <c r="N42" i="4"/>
  <c r="N10" i="4"/>
  <c r="N41" i="4"/>
  <c r="N34" i="4"/>
  <c r="N18" i="4"/>
  <c r="N33" i="4"/>
  <c r="N17" i="4"/>
  <c r="N48" i="4"/>
  <c r="N16" i="4"/>
  <c r="N50" i="4"/>
  <c r="N26" i="4"/>
  <c r="N49" i="4"/>
  <c r="N9" i="4"/>
  <c r="N40" i="4"/>
  <c r="N24" i="4"/>
  <c r="N53" i="4"/>
  <c r="N11" i="4"/>
  <c r="N28" i="4"/>
  <c r="N6" i="4"/>
  <c r="N15" i="4"/>
  <c r="N27" i="4"/>
  <c r="N44" i="4"/>
  <c r="N22" i="4"/>
  <c r="N35" i="4"/>
  <c r="N52" i="4"/>
  <c r="N30" i="4"/>
  <c r="N43" i="4"/>
  <c r="N37" i="4"/>
  <c r="N38" i="4"/>
  <c r="N39" i="4"/>
  <c r="N13" i="4"/>
  <c r="N5" i="4"/>
  <c r="N12" i="4"/>
  <c r="N54" i="4"/>
  <c r="N21" i="4"/>
  <c r="N20" i="4"/>
  <c r="N7" i="4"/>
  <c r="N19" i="4"/>
  <c r="N14" i="4"/>
  <c r="N23" i="4"/>
  <c r="N51" i="4"/>
  <c r="N46" i="4"/>
  <c r="N47" i="4"/>
  <c r="N29" i="4"/>
  <c r="N55" i="4"/>
  <c r="N45" i="4"/>
  <c r="N4" i="4"/>
  <c r="N36" i="4"/>
  <c r="I24" i="10"/>
  <c r="J24" i="10" l="1"/>
  <c r="H24" i="10"/>
  <c r="K24" i="10"/>
</calcChain>
</file>

<file path=xl/sharedStrings.xml><?xml version="1.0" encoding="utf-8"?>
<sst xmlns="http://schemas.openxmlformats.org/spreadsheetml/2006/main" count="2503" uniqueCount="116">
  <si>
    <t>Type</t>
  </si>
  <si>
    <t>Day of Service</t>
  </si>
  <si>
    <t>Total Cost</t>
  </si>
  <si>
    <t>Passenger Trips</t>
  </si>
  <si>
    <t>Fare Revenue</t>
  </si>
  <si>
    <t>In-Service Hours</t>
  </si>
  <si>
    <t>Weekday</t>
  </si>
  <si>
    <t>MY RIDE</t>
  </si>
  <si>
    <t>Provider</t>
  </si>
  <si>
    <t>MVTA</t>
  </si>
  <si>
    <t>Maple Grove</t>
  </si>
  <si>
    <t>Saturday</t>
  </si>
  <si>
    <t>Sunday</t>
  </si>
  <si>
    <t>All Days</t>
  </si>
  <si>
    <t>Subsidy per Passenger</t>
  </si>
  <si>
    <t>Metro Vanpool</t>
  </si>
  <si>
    <t>Metro Mobility</t>
  </si>
  <si>
    <t>ADA Dial-a-Ride</t>
  </si>
  <si>
    <t>Core Local</t>
  </si>
  <si>
    <t>Supporting Local</t>
  </si>
  <si>
    <t>Suburban Local</t>
  </si>
  <si>
    <t>Blue Line</t>
  </si>
  <si>
    <t>Green Line</t>
  </si>
  <si>
    <t>BRT - HIghway</t>
  </si>
  <si>
    <t>Light Rail</t>
  </si>
  <si>
    <t>Commuter Rail</t>
  </si>
  <si>
    <t>Comments</t>
  </si>
  <si>
    <t>Total Subsidy</t>
  </si>
  <si>
    <t>Pass per In-Service Hr</t>
  </si>
  <si>
    <t>NTD Mode</t>
  </si>
  <si>
    <t>Bus (MB)</t>
  </si>
  <si>
    <t>Demand Response (DR)</t>
  </si>
  <si>
    <t>SW Prime</t>
  </si>
  <si>
    <t>Weekdays</t>
  </si>
  <si>
    <t>SW Transit</t>
  </si>
  <si>
    <t>Cost per in-service hour</t>
  </si>
  <si>
    <t>Connect</t>
  </si>
  <si>
    <t>Table 1</t>
  </si>
  <si>
    <t>Fare Revenues</t>
  </si>
  <si>
    <t>Net Subsidy</t>
  </si>
  <si>
    <t>Total Passenger Trips</t>
  </si>
  <si>
    <t>Annual Hours</t>
  </si>
  <si>
    <t>Passengers per Hour</t>
  </si>
  <si>
    <t>Comment</t>
  </si>
  <si>
    <t>Route Level Subsidy per Pass</t>
  </si>
  <si>
    <t>Average</t>
  </si>
  <si>
    <t>Tier 1</t>
  </si>
  <si>
    <t>Tier 2</t>
  </si>
  <si>
    <t>Tier 3</t>
  </si>
  <si>
    <t>Table 2</t>
  </si>
  <si>
    <t>Table 3</t>
  </si>
  <si>
    <t>Table 4</t>
  </si>
  <si>
    <t>Table 5</t>
  </si>
  <si>
    <t>BRT - Arterial</t>
  </si>
  <si>
    <t>Table 6</t>
  </si>
  <si>
    <t>Table 7</t>
  </si>
  <si>
    <t>Table 8</t>
  </si>
  <si>
    <t>Table 9</t>
  </si>
  <si>
    <t>Table 10</t>
  </si>
  <si>
    <t>Table 11</t>
  </si>
  <si>
    <t>Vanpool</t>
  </si>
  <si>
    <t>Pass per IS Hour</t>
  </si>
  <si>
    <t>System Level Subsidy per Pass</t>
  </si>
  <si>
    <t>Count of Routes</t>
  </si>
  <si>
    <t>Annual In-Service Hours</t>
  </si>
  <si>
    <t>Saturdays</t>
  </si>
  <si>
    <t>Sundays</t>
  </si>
  <si>
    <t>Met Council - Metro Transit</t>
  </si>
  <si>
    <t>Met Council - MTS</t>
  </si>
  <si>
    <t>Plymouth MetroLink</t>
  </si>
  <si>
    <t>Commuter/Express</t>
  </si>
  <si>
    <t>2023 Commuter/Express Bus</t>
  </si>
  <si>
    <t>2023 Core Local Bus</t>
  </si>
  <si>
    <t>2023 Supporting Local Bus</t>
  </si>
  <si>
    <t xml:space="preserve">Subsidy compared to peer average </t>
  </si>
  <si>
    <t>Subsidy compared to peer average</t>
  </si>
  <si>
    <t>2023 Suburban Local Bus</t>
  </si>
  <si>
    <t>Route Number</t>
  </si>
  <si>
    <t>Route Name</t>
  </si>
  <si>
    <t>Orange Line</t>
  </si>
  <si>
    <t>Red Line</t>
  </si>
  <si>
    <t>2023 Highway Bus Rapid Transit</t>
  </si>
  <si>
    <t>A Line</t>
  </si>
  <si>
    <t>C Line</t>
  </si>
  <si>
    <t>D Line</t>
  </si>
  <si>
    <t>2023 Light Rail</t>
  </si>
  <si>
    <t>Annual Revenue Hours</t>
  </si>
  <si>
    <t>NorthStar</t>
  </si>
  <si>
    <t>2023 Commuter Rail</t>
  </si>
  <si>
    <t>2023 Vanpool</t>
  </si>
  <si>
    <t xml:space="preserve">Route Name </t>
  </si>
  <si>
    <t>Service Period</t>
  </si>
  <si>
    <t>TransitLink</t>
  </si>
  <si>
    <t>Metro mirco</t>
  </si>
  <si>
    <t>Microtransit</t>
  </si>
  <si>
    <t>Click-and-Ride</t>
  </si>
  <si>
    <t xml:space="preserve">Route Number </t>
  </si>
  <si>
    <t>Route removed during 2023</t>
  </si>
  <si>
    <t>Seasonal route that runs 4 days per week (Thurs-Sun) from approximately May to November</t>
  </si>
  <si>
    <t>Suburb-to-Suburb</t>
  </si>
  <si>
    <t>Route removed during 2023; conculsion of grant funding</t>
  </si>
  <si>
    <t>2023 Arterial Bus Rapid Transit</t>
  </si>
  <si>
    <t>Pass per IS Hour Guideline</t>
  </si>
  <si>
    <t>2023 Dial-a-Ride (ADA &amp; General)</t>
  </si>
  <si>
    <t>General Dial-a-Ride</t>
  </si>
  <si>
    <t>Light Rail (LR)</t>
  </si>
  <si>
    <t>Commuter Rail (CR)</t>
  </si>
  <si>
    <t>Farebox Recovery</t>
  </si>
  <si>
    <t>All Routes</t>
  </si>
  <si>
    <t>2023 Microtransit</t>
  </si>
  <si>
    <t>Annual 
In-Service Hours</t>
  </si>
  <si>
    <t>Vanpool (VP)</t>
  </si>
  <si>
    <t>Farebox Recovery Ratio</t>
  </si>
  <si>
    <t>Subsidy Per Passenger Trip</t>
  </si>
  <si>
    <t>Farebox Recovery Compared to Peer Average</t>
  </si>
  <si>
    <t>All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</si>
</sst>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&quot;$&quot;#,##0"/>
    <numFmt numFmtId="167" formatCode="0.0%"/>
    <numFmt numFmtId="168" formatCode="_(* #,##0_);_(* \(#,##0\);_(* &quot;-&quot;??_);_(@_)"/>
    <numFmt numFmtId="169" formatCode="_(&quot;$&quot;* #,##0_);_(&quot;$&quot;* \(#,##0\);_(&quot;$&quot;* &quot;-&quot;??_);_(@_)"/>
    <numFmt numFmtId="170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 Black"/>
      <family val="2"/>
    </font>
    <font>
      <sz val="11"/>
      <color theme="1"/>
      <name val="Arial Black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24"/>
      <color theme="0"/>
      <name val="Arial Black"/>
      <family val="2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0" borderId="0"/>
  </cellStyleXfs>
  <cellXfs count="316">
    <xf numFmtId="0" fontId="0" fillId="0" borderId="0" xfId="0"/>
    <xf numFmtId="168" fontId="0" fillId="0" borderId="0" xfId="4" applyNumberFormat="1" applyFont="1"/>
    <xf numFmtId="0" fontId="3" fillId="0" borderId="0" xfId="0" applyFont="1"/>
    <xf numFmtId="166" fontId="0" fillId="0" borderId="0" xfId="0" applyNumberFormat="1"/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167" fontId="0" fillId="0" borderId="0" xfId="5" applyNumberFormat="1" applyFont="1" applyBorder="1"/>
    <xf numFmtId="44" fontId="0" fillId="0" borderId="0" xfId="0" applyNumberFormat="1"/>
    <xf numFmtId="168" fontId="0" fillId="0" borderId="0" xfId="4" applyNumberFormat="1" applyFont="1" applyFill="1"/>
    <xf numFmtId="44" fontId="4" fillId="0" borderId="0" xfId="12" applyNumberFormat="1" applyFont="1" applyFill="1"/>
    <xf numFmtId="4" fontId="0" fillId="0" borderId="0" xfId="4" applyNumberFormat="1" applyFont="1" applyFill="1" applyBorder="1" applyAlignment="1"/>
    <xf numFmtId="0" fontId="0" fillId="0" borderId="0" xfId="0" applyAlignment="1">
      <alignment horizontal="center"/>
    </xf>
    <xf numFmtId="0" fontId="10" fillId="0" borderId="0" xfId="13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wrapText="1"/>
    </xf>
    <xf numFmtId="0" fontId="9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/>
    <xf numFmtId="1" fontId="12" fillId="0" borderId="0" xfId="0" applyNumberFormat="1" applyFont="1"/>
    <xf numFmtId="164" fontId="12" fillId="0" borderId="0" xfId="11" applyNumberFormat="1" applyFont="1" applyFill="1"/>
    <xf numFmtId="166" fontId="12" fillId="0" borderId="0" xfId="0" applyNumberFormat="1" applyFont="1"/>
    <xf numFmtId="164" fontId="12" fillId="0" borderId="0" xfId="0" applyNumberFormat="1" applyFont="1"/>
    <xf numFmtId="167" fontId="12" fillId="0" borderId="0" xfId="5" applyNumberFormat="1" applyFont="1" applyFill="1" applyBorder="1" applyAlignment="1"/>
    <xf numFmtId="165" fontId="12" fillId="0" borderId="0" xfId="0" applyNumberFormat="1" applyFont="1"/>
    <xf numFmtId="3" fontId="12" fillId="0" borderId="0" xfId="4" applyNumberFormat="1" applyFont="1" applyFill="1" applyBorder="1" applyAlignment="1"/>
    <xf numFmtId="3" fontId="12" fillId="0" borderId="0" xfId="0" applyNumberFormat="1" applyFont="1"/>
    <xf numFmtId="41" fontId="12" fillId="0" borderId="0" xfId="0" applyNumberFormat="1" applyFont="1"/>
    <xf numFmtId="8" fontId="12" fillId="0" borderId="0" xfId="0" applyNumberFormat="1" applyFont="1"/>
    <xf numFmtId="41" fontId="12" fillId="0" borderId="0" xfId="4" applyNumberFormat="1" applyFont="1" applyFill="1" applyBorder="1" applyAlignment="1"/>
    <xf numFmtId="164" fontId="12" fillId="0" borderId="0" xfId="1" applyNumberFormat="1" applyFont="1" applyFill="1" applyBorder="1" applyAlignment="1"/>
    <xf numFmtId="168" fontId="12" fillId="0" borderId="0" xfId="4" applyNumberFormat="1" applyFont="1" applyFill="1" applyBorder="1" applyAlignment="1"/>
    <xf numFmtId="168" fontId="12" fillId="0" borderId="0" xfId="4" applyNumberFormat="1" applyFont="1" applyFill="1"/>
    <xf numFmtId="168" fontId="12" fillId="0" borderId="0" xfId="4" applyNumberFormat="1" applyFont="1" applyFill="1" applyAlignment="1">
      <alignment horizontal="center"/>
    </xf>
    <xf numFmtId="0" fontId="14" fillId="0" borderId="0" xfId="0" applyFont="1"/>
    <xf numFmtId="164" fontId="14" fillId="0" borderId="0" xfId="1" applyNumberFormat="1" applyFont="1" applyFill="1" applyBorder="1" applyAlignment="1"/>
    <xf numFmtId="3" fontId="14" fillId="0" borderId="0" xfId="4" applyNumberFormat="1" applyFont="1" applyFill="1" applyBorder="1" applyAlignment="1"/>
    <xf numFmtId="164" fontId="14" fillId="0" borderId="0" xfId="0" applyNumberFormat="1" applyFont="1"/>
    <xf numFmtId="164" fontId="14" fillId="0" borderId="0" xfId="2" applyNumberFormat="1" applyFont="1" applyFill="1" applyBorder="1" applyAlignment="1"/>
    <xf numFmtId="164" fontId="12" fillId="0" borderId="0" xfId="1" applyNumberFormat="1" applyFont="1" applyFill="1" applyAlignment="1"/>
    <xf numFmtId="168" fontId="12" fillId="0" borderId="0" xfId="4" applyNumberFormat="1" applyFont="1" applyFill="1" applyAlignment="1"/>
    <xf numFmtId="3" fontId="12" fillId="0" borderId="0" xfId="4" applyNumberFormat="1" applyFont="1" applyFill="1" applyAlignment="1"/>
    <xf numFmtId="164" fontId="12" fillId="0" borderId="0" xfId="4" applyNumberFormat="1" applyFont="1" applyFill="1" applyAlignment="1"/>
    <xf numFmtId="0" fontId="16" fillId="4" borderId="3" xfId="0" applyFont="1" applyFill="1" applyBorder="1" applyAlignment="1">
      <alignment horizontal="center" vertical="center"/>
    </xf>
    <xf numFmtId="0" fontId="17" fillId="6" borderId="0" xfId="13" applyFont="1" applyFill="1" applyAlignment="1">
      <alignment horizontal="left"/>
    </xf>
    <xf numFmtId="1" fontId="16" fillId="4" borderId="4" xfId="0" applyNumberFormat="1" applyFont="1" applyFill="1" applyBorder="1" applyAlignment="1">
      <alignment horizontal="center" vertical="center"/>
    </xf>
    <xf numFmtId="38" fontId="16" fillId="4" borderId="4" xfId="0" applyNumberFormat="1" applyFont="1" applyFill="1" applyBorder="1" applyAlignment="1">
      <alignment horizontal="center" vertical="center" wrapText="1"/>
    </xf>
    <xf numFmtId="169" fontId="16" fillId="4" borderId="4" xfId="11" applyNumberFormat="1" applyFont="1" applyFill="1" applyBorder="1" applyAlignment="1">
      <alignment horizontal="center" vertical="center"/>
    </xf>
    <xf numFmtId="169" fontId="16" fillId="4" borderId="4" xfId="11" applyNumberFormat="1" applyFont="1" applyFill="1" applyBorder="1" applyAlignment="1">
      <alignment horizontal="center" vertical="center" wrapText="1"/>
    </xf>
    <xf numFmtId="168" fontId="16" fillId="4" borderId="4" xfId="4" applyNumberFormat="1" applyFont="1" applyFill="1" applyBorder="1" applyAlignment="1">
      <alignment horizontal="center" vertical="center" wrapText="1"/>
    </xf>
    <xf numFmtId="40" fontId="16" fillId="4" borderId="4" xfId="0" applyNumberFormat="1" applyFont="1" applyFill="1" applyBorder="1" applyAlignment="1">
      <alignment horizontal="center" vertical="center" wrapText="1"/>
    </xf>
    <xf numFmtId="9" fontId="16" fillId="4" borderId="4" xfId="5" applyFont="1" applyFill="1" applyBorder="1" applyAlignment="1">
      <alignment horizontal="center" vertical="center" wrapText="1"/>
    </xf>
    <xf numFmtId="38" fontId="16" fillId="4" borderId="1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4" borderId="3" xfId="0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38" fontId="16" fillId="4" borderId="10" xfId="0" applyNumberFormat="1" applyFont="1" applyFill="1" applyBorder="1" applyAlignment="1">
      <alignment horizontal="center" vertical="center" wrapText="1"/>
    </xf>
    <xf numFmtId="0" fontId="12" fillId="0" borderId="39" xfId="0" applyFont="1" applyBorder="1"/>
    <xf numFmtId="1" fontId="12" fillId="0" borderId="40" xfId="0" applyNumberFormat="1" applyFont="1" applyBorder="1"/>
    <xf numFmtId="0" fontId="12" fillId="0" borderId="40" xfId="0" applyFont="1" applyBorder="1"/>
    <xf numFmtId="8" fontId="12" fillId="0" borderId="40" xfId="0" applyNumberFormat="1" applyFont="1" applyBorder="1"/>
    <xf numFmtId="168" fontId="12" fillId="0" borderId="40" xfId="4" applyNumberFormat="1" applyFont="1" applyBorder="1" applyAlignment="1"/>
    <xf numFmtId="164" fontId="12" fillId="0" borderId="40" xfId="0" applyNumberFormat="1" applyFont="1" applyBorder="1"/>
    <xf numFmtId="167" fontId="12" fillId="0" borderId="40" xfId="5" applyNumberFormat="1" applyFont="1" applyBorder="1"/>
    <xf numFmtId="165" fontId="12" fillId="0" borderId="40" xfId="0" applyNumberFormat="1" applyFont="1" applyBorder="1"/>
    <xf numFmtId="0" fontId="12" fillId="0" borderId="41" xfId="0" applyFont="1" applyBorder="1" applyAlignment="1">
      <alignment wrapText="1"/>
    </xf>
    <xf numFmtId="0" fontId="12" fillId="0" borderId="42" xfId="0" applyFont="1" applyBorder="1"/>
    <xf numFmtId="168" fontId="12" fillId="0" borderId="0" xfId="4" applyNumberFormat="1" applyFont="1" applyBorder="1" applyAlignment="1"/>
    <xf numFmtId="167" fontId="12" fillId="0" borderId="0" xfId="5" applyNumberFormat="1" applyFont="1" applyBorder="1"/>
    <xf numFmtId="0" fontId="12" fillId="0" borderId="38" xfId="0" applyFont="1" applyBorder="1" applyAlignment="1">
      <alignment wrapText="1"/>
    </xf>
    <xf numFmtId="0" fontId="12" fillId="0" borderId="43" xfId="0" applyFont="1" applyBorder="1"/>
    <xf numFmtId="0" fontId="14" fillId="0" borderId="44" xfId="0" applyFont="1" applyBorder="1"/>
    <xf numFmtId="0" fontId="12" fillId="0" borderId="44" xfId="0" applyFont="1" applyBorder="1"/>
    <xf numFmtId="8" fontId="12" fillId="0" borderId="44" xfId="0" applyNumberFormat="1" applyFont="1" applyBorder="1"/>
    <xf numFmtId="168" fontId="12" fillId="0" borderId="44" xfId="4" applyNumberFormat="1" applyFont="1" applyBorder="1" applyAlignment="1"/>
    <xf numFmtId="164" fontId="12" fillId="0" borderId="44" xfId="0" applyNumberFormat="1" applyFont="1" applyBorder="1"/>
    <xf numFmtId="167" fontId="12" fillId="0" borderId="44" xfId="5" applyNumberFormat="1" applyFont="1" applyBorder="1"/>
    <xf numFmtId="165" fontId="12" fillId="0" borderId="44" xfId="0" applyNumberFormat="1" applyFont="1" applyBorder="1"/>
    <xf numFmtId="0" fontId="12" fillId="0" borderId="37" xfId="0" applyFont="1" applyBorder="1" applyAlignment="1">
      <alignment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0" xfId="0" applyFont="1" applyBorder="1"/>
    <xf numFmtId="44" fontId="12" fillId="0" borderId="31" xfId="0" applyNumberFormat="1" applyFont="1" applyBorder="1"/>
    <xf numFmtId="44" fontId="12" fillId="2" borderId="31" xfId="0" applyNumberFormat="1" applyFont="1" applyFill="1" applyBorder="1"/>
    <xf numFmtId="44" fontId="12" fillId="5" borderId="31" xfId="0" applyNumberFormat="1" applyFont="1" applyFill="1" applyBorder="1"/>
    <xf numFmtId="44" fontId="18" fillId="3" borderId="32" xfId="12" applyNumberFormat="1" applyFont="1" applyBorder="1"/>
    <xf numFmtId="44" fontId="12" fillId="0" borderId="27" xfId="0" applyNumberFormat="1" applyFont="1" applyBorder="1"/>
    <xf numFmtId="0" fontId="12" fillId="0" borderId="2" xfId="0" applyFont="1" applyBorder="1"/>
    <xf numFmtId="44" fontId="12" fillId="0" borderId="0" xfId="0" applyNumberFormat="1" applyFont="1"/>
    <xf numFmtId="44" fontId="12" fillId="2" borderId="0" xfId="0" applyNumberFormat="1" applyFont="1" applyFill="1"/>
    <xf numFmtId="44" fontId="12" fillId="5" borderId="0" xfId="0" applyNumberFormat="1" applyFont="1" applyFill="1"/>
    <xf numFmtId="44" fontId="18" fillId="3" borderId="5" xfId="12" applyNumberFormat="1" applyFont="1" applyBorder="1"/>
    <xf numFmtId="0" fontId="12" fillId="0" borderId="9" xfId="0" applyFont="1" applyBorder="1" applyAlignment="1">
      <alignment horizontal="center"/>
    </xf>
    <xf numFmtId="0" fontId="12" fillId="0" borderId="35" xfId="0" applyFont="1" applyBorder="1"/>
    <xf numFmtId="44" fontId="12" fillId="0" borderId="1" xfId="0" applyNumberFormat="1" applyFont="1" applyBorder="1"/>
    <xf numFmtId="44" fontId="12" fillId="2" borderId="1" xfId="0" applyNumberFormat="1" applyFont="1" applyFill="1" applyBorder="1"/>
    <xf numFmtId="44" fontId="12" fillId="5" borderId="1" xfId="0" applyNumberFormat="1" applyFont="1" applyFill="1" applyBorder="1"/>
    <xf numFmtId="44" fontId="18" fillId="3" borderId="36" xfId="12" applyNumberFormat="1" applyFont="1" applyBorder="1"/>
    <xf numFmtId="0" fontId="12" fillId="0" borderId="25" xfId="0" applyFont="1" applyBorder="1"/>
    <xf numFmtId="0" fontId="12" fillId="0" borderId="23" xfId="0" applyFont="1" applyBorder="1" applyAlignment="1">
      <alignment horizontal="center"/>
    </xf>
    <xf numFmtId="0" fontId="12" fillId="6" borderId="23" xfId="0" applyFont="1" applyFill="1" applyBorder="1"/>
    <xf numFmtId="0" fontId="12" fillId="6" borderId="26" xfId="0" applyFont="1" applyFill="1" applyBorder="1"/>
    <xf numFmtId="44" fontId="12" fillId="0" borderId="33" xfId="0" applyNumberFormat="1" applyFont="1" applyBorder="1"/>
    <xf numFmtId="1" fontId="12" fillId="0" borderId="40" xfId="0" applyNumberFormat="1" applyFont="1" applyBorder="1" applyAlignment="1">
      <alignment horizontal="center"/>
    </xf>
    <xf numFmtId="166" fontId="12" fillId="0" borderId="40" xfId="0" applyNumberFormat="1" applyFont="1" applyBorder="1"/>
    <xf numFmtId="3" fontId="12" fillId="0" borderId="40" xfId="0" applyNumberFormat="1" applyFont="1" applyBorder="1"/>
    <xf numFmtId="41" fontId="12" fillId="0" borderId="40" xfId="0" applyNumberFormat="1" applyFont="1" applyBorder="1"/>
    <xf numFmtId="170" fontId="12" fillId="0" borderId="40" xfId="0" applyNumberFormat="1" applyFont="1" applyBorder="1"/>
    <xf numFmtId="0" fontId="12" fillId="0" borderId="41" xfId="0" applyFont="1" applyBorder="1"/>
    <xf numFmtId="1" fontId="12" fillId="0" borderId="0" xfId="0" applyNumberFormat="1" applyFont="1" applyAlignment="1">
      <alignment horizontal="center"/>
    </xf>
    <xf numFmtId="170" fontId="12" fillId="0" borderId="0" xfId="0" applyNumberFormat="1" applyFont="1"/>
    <xf numFmtId="0" fontId="12" fillId="0" borderId="38" xfId="0" applyFont="1" applyBorder="1"/>
    <xf numFmtId="0" fontId="13" fillId="0" borderId="38" xfId="0" applyFont="1" applyBorder="1"/>
    <xf numFmtId="1" fontId="12" fillId="0" borderId="44" xfId="0" applyNumberFormat="1" applyFont="1" applyBorder="1" applyAlignment="1">
      <alignment horizontal="center"/>
    </xf>
    <xf numFmtId="1" fontId="12" fillId="0" borderId="44" xfId="0" applyNumberFormat="1" applyFont="1" applyBorder="1"/>
    <xf numFmtId="166" fontId="12" fillId="0" borderId="44" xfId="0" applyNumberFormat="1" applyFont="1" applyBorder="1"/>
    <xf numFmtId="3" fontId="12" fillId="0" borderId="44" xfId="0" applyNumberFormat="1" applyFont="1" applyBorder="1"/>
    <xf numFmtId="41" fontId="12" fillId="0" borderId="44" xfId="0" applyNumberFormat="1" applyFont="1" applyBorder="1"/>
    <xf numFmtId="170" fontId="12" fillId="0" borderId="44" xfId="0" applyNumberFormat="1" applyFont="1" applyBorder="1"/>
    <xf numFmtId="0" fontId="12" fillId="0" borderId="37" xfId="0" applyFont="1" applyBorder="1"/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44" fontId="12" fillId="0" borderId="0" xfId="11" applyFont="1" applyBorder="1"/>
    <xf numFmtId="9" fontId="12" fillId="0" borderId="40" xfId="5" applyFont="1" applyBorder="1"/>
    <xf numFmtId="9" fontId="12" fillId="0" borderId="0" xfId="5" applyFont="1" applyBorder="1"/>
    <xf numFmtId="43" fontId="12" fillId="0" borderId="0" xfId="0" applyNumberFormat="1" applyFont="1"/>
    <xf numFmtId="9" fontId="12" fillId="0" borderId="44" xfId="5" applyFont="1" applyBorder="1"/>
    <xf numFmtId="3" fontId="12" fillId="0" borderId="40" xfId="4" applyNumberFormat="1" applyFont="1" applyFill="1" applyBorder="1" applyAlignment="1"/>
    <xf numFmtId="167" fontId="12" fillId="0" borderId="40" xfId="5" applyNumberFormat="1" applyFont="1" applyFill="1" applyBorder="1"/>
    <xf numFmtId="167" fontId="12" fillId="0" borderId="0" xfId="5" applyNumberFormat="1" applyFont="1" applyFill="1" applyBorder="1"/>
    <xf numFmtId="166" fontId="12" fillId="0" borderId="0" xfId="11" applyNumberFormat="1" applyFont="1" applyBorder="1"/>
    <xf numFmtId="168" fontId="12" fillId="0" borderId="0" xfId="4" applyNumberFormat="1" applyFont="1" applyBorder="1"/>
    <xf numFmtId="168" fontId="12" fillId="0" borderId="0" xfId="4" applyNumberFormat="1" applyFont="1" applyBorder="1" applyAlignment="1">
      <alignment horizontal="center"/>
    </xf>
    <xf numFmtId="3" fontId="12" fillId="0" borderId="38" xfId="0" applyNumberFormat="1" applyFont="1" applyBorder="1" applyAlignment="1">
      <alignment wrapText="1"/>
    </xf>
    <xf numFmtId="164" fontId="12" fillId="0" borderId="0" xfId="11" applyNumberFormat="1" applyFont="1" applyBorder="1"/>
    <xf numFmtId="167" fontId="12" fillId="0" borderId="44" xfId="5" applyNumberFormat="1" applyFont="1" applyFill="1" applyBorder="1"/>
    <xf numFmtId="0" fontId="12" fillId="0" borderId="5" xfId="0" applyFont="1" applyBorder="1"/>
    <xf numFmtId="0" fontId="13" fillId="0" borderId="5" xfId="0" applyFont="1" applyBorder="1"/>
    <xf numFmtId="0" fontId="12" fillId="0" borderId="9" xfId="0" applyFont="1" applyBorder="1"/>
    <xf numFmtId="1" fontId="12" fillId="0" borderId="6" xfId="0" applyNumberFormat="1" applyFont="1" applyBorder="1"/>
    <xf numFmtId="0" fontId="12" fillId="0" borderId="6" xfId="0" applyFont="1" applyBorder="1"/>
    <xf numFmtId="166" fontId="12" fillId="0" borderId="6" xfId="0" applyNumberFormat="1" applyFont="1" applyBorder="1"/>
    <xf numFmtId="3" fontId="12" fillId="0" borderId="6" xfId="0" applyNumberFormat="1" applyFont="1" applyBorder="1"/>
    <xf numFmtId="41" fontId="12" fillId="0" borderId="6" xfId="0" applyNumberFormat="1" applyFont="1" applyBorder="1"/>
    <xf numFmtId="164" fontId="12" fillId="0" borderId="6" xfId="0" applyNumberFormat="1" applyFont="1" applyBorder="1"/>
    <xf numFmtId="0" fontId="12" fillId="0" borderId="7" xfId="0" applyFont="1" applyBorder="1"/>
    <xf numFmtId="0" fontId="12" fillId="0" borderId="13" xfId="0" applyFont="1" applyBorder="1"/>
    <xf numFmtId="44" fontId="12" fillId="0" borderId="14" xfId="0" applyNumberFormat="1" applyFont="1" applyBorder="1"/>
    <xf numFmtId="44" fontId="12" fillId="2" borderId="14" xfId="0" applyNumberFormat="1" applyFont="1" applyFill="1" applyBorder="1"/>
    <xf numFmtId="44" fontId="12" fillId="5" borderId="14" xfId="0" applyNumberFormat="1" applyFont="1" applyFill="1" applyBorder="1"/>
    <xf numFmtId="44" fontId="18" fillId="3" borderId="15" xfId="12" applyNumberFormat="1" applyFont="1" applyBorder="1"/>
    <xf numFmtId="44" fontId="12" fillId="0" borderId="14" xfId="11" applyFont="1" applyBorder="1"/>
    <xf numFmtId="0" fontId="12" fillId="0" borderId="24" xfId="0" applyFont="1" applyBorder="1"/>
    <xf numFmtId="0" fontId="12" fillId="0" borderId="21" xfId="0" applyFont="1" applyBorder="1"/>
    <xf numFmtId="1" fontId="12" fillId="0" borderId="12" xfId="0" applyNumberFormat="1" applyFont="1" applyBorder="1"/>
    <xf numFmtId="0" fontId="12" fillId="0" borderId="12" xfId="0" applyFont="1" applyBorder="1"/>
    <xf numFmtId="166" fontId="12" fillId="0" borderId="12" xfId="0" applyNumberFormat="1" applyFont="1" applyBorder="1"/>
    <xf numFmtId="3" fontId="12" fillId="0" borderId="12" xfId="0" applyNumberFormat="1" applyFont="1" applyBorder="1"/>
    <xf numFmtId="41" fontId="12" fillId="0" borderId="12" xfId="0" applyNumberFormat="1" applyFont="1" applyBorder="1"/>
    <xf numFmtId="44" fontId="12" fillId="0" borderId="12" xfId="11" applyFont="1" applyBorder="1"/>
    <xf numFmtId="167" fontId="12" fillId="0" borderId="12" xfId="5" applyNumberFormat="1" applyFont="1" applyBorder="1"/>
    <xf numFmtId="170" fontId="12" fillId="0" borderId="12" xfId="4" applyNumberFormat="1" applyFont="1" applyBorder="1"/>
    <xf numFmtId="0" fontId="12" fillId="0" borderId="22" xfId="0" applyFont="1" applyBorder="1"/>
    <xf numFmtId="170" fontId="12" fillId="0" borderId="0" xfId="4" applyNumberFormat="1" applyFont="1" applyBorder="1"/>
    <xf numFmtId="44" fontId="12" fillId="0" borderId="6" xfId="11" applyFont="1" applyBorder="1"/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wrapText="1"/>
    </xf>
    <xf numFmtId="9" fontId="12" fillId="0" borderId="0" xfId="5" applyFont="1"/>
    <xf numFmtId="0" fontId="12" fillId="0" borderId="19" xfId="0" applyFont="1" applyBorder="1"/>
    <xf numFmtId="1" fontId="12" fillId="0" borderId="19" xfId="0" applyNumberFormat="1" applyFont="1" applyBorder="1"/>
    <xf numFmtId="6" fontId="12" fillId="0" borderId="19" xfId="0" applyNumberFormat="1" applyFont="1" applyBorder="1"/>
    <xf numFmtId="3" fontId="12" fillId="0" borderId="19" xfId="0" applyNumberFormat="1" applyFont="1" applyBorder="1"/>
    <xf numFmtId="41" fontId="12" fillId="0" borderId="19" xfId="0" applyNumberFormat="1" applyFont="1" applyBorder="1"/>
    <xf numFmtId="164" fontId="12" fillId="0" borderId="19" xfId="0" applyNumberFormat="1" applyFont="1" applyBorder="1"/>
    <xf numFmtId="9" fontId="12" fillId="0" borderId="19" xfId="0" applyNumberFormat="1" applyFont="1" applyBorder="1"/>
    <xf numFmtId="43" fontId="12" fillId="0" borderId="19" xfId="0" applyNumberFormat="1" applyFont="1" applyBorder="1"/>
    <xf numFmtId="0" fontId="12" fillId="0" borderId="20" xfId="0" applyFont="1" applyBorder="1"/>
    <xf numFmtId="0" fontId="12" fillId="0" borderId="16" xfId="0" applyFont="1" applyBorder="1"/>
    <xf numFmtId="44" fontId="12" fillId="0" borderId="17" xfId="11" applyFont="1" applyBorder="1"/>
    <xf numFmtId="44" fontId="12" fillId="2" borderId="17" xfId="0" applyNumberFormat="1" applyFont="1" applyFill="1" applyBorder="1"/>
    <xf numFmtId="44" fontId="12" fillId="5" borderId="17" xfId="0" applyNumberFormat="1" applyFont="1" applyFill="1" applyBorder="1"/>
    <xf numFmtId="44" fontId="18" fillId="3" borderId="18" xfId="12" applyNumberFormat="1" applyFont="1" applyBorder="1"/>
    <xf numFmtId="166" fontId="12" fillId="0" borderId="0" xfId="4" applyNumberFormat="1" applyFont="1" applyFill="1" applyBorder="1" applyAlignment="1"/>
    <xf numFmtId="166" fontId="12" fillId="0" borderId="0" xfId="2" applyNumberFormat="1" applyFont="1" applyFill="1" applyBorder="1" applyAlignment="1"/>
    <xf numFmtId="166" fontId="12" fillId="0" borderId="0" xfId="11" applyNumberFormat="1" applyFont="1" applyFill="1" applyBorder="1"/>
    <xf numFmtId="0" fontId="12" fillId="0" borderId="44" xfId="0" applyFont="1" applyBorder="1" applyAlignment="1">
      <alignment horizontal="left"/>
    </xf>
    <xf numFmtId="9" fontId="12" fillId="0" borderId="0" xfId="0" applyNumberFormat="1" applyFont="1"/>
    <xf numFmtId="3" fontId="12" fillId="0" borderId="44" xfId="4" applyNumberFormat="1" applyFont="1" applyFill="1" applyBorder="1" applyAlignment="1"/>
    <xf numFmtId="9" fontId="12" fillId="0" borderId="44" xfId="0" applyNumberFormat="1" applyFont="1" applyBorder="1"/>
    <xf numFmtId="0" fontId="15" fillId="4" borderId="29" xfId="0" applyFont="1" applyFill="1" applyBorder="1" applyAlignment="1">
      <alignment horizontal="center" vertical="center" wrapText="1"/>
    </xf>
    <xf numFmtId="166" fontId="12" fillId="0" borderId="19" xfId="0" applyNumberFormat="1" applyFont="1" applyBorder="1"/>
    <xf numFmtId="9" fontId="12" fillId="0" borderId="6" xfId="0" applyNumberFormat="1" applyFont="1" applyBorder="1"/>
    <xf numFmtId="165" fontId="12" fillId="0" borderId="6" xfId="0" applyNumberFormat="1" applyFont="1" applyBorder="1"/>
    <xf numFmtId="0" fontId="16" fillId="4" borderId="11" xfId="0" applyFont="1" applyFill="1" applyBorder="1" applyAlignment="1">
      <alignment horizontal="center" vertical="center" wrapText="1"/>
    </xf>
    <xf numFmtId="164" fontId="12" fillId="0" borderId="12" xfId="11" applyNumberFormat="1" applyFont="1" applyFill="1" applyBorder="1"/>
    <xf numFmtId="3" fontId="12" fillId="0" borderId="12" xfId="4" applyNumberFormat="1" applyFont="1" applyFill="1" applyBorder="1"/>
    <xf numFmtId="41" fontId="12" fillId="0" borderId="12" xfId="4" applyNumberFormat="1" applyFont="1" applyFill="1" applyBorder="1" applyAlignment="1">
      <alignment horizontal="center"/>
    </xf>
    <xf numFmtId="164" fontId="12" fillId="0" borderId="12" xfId="0" applyNumberFormat="1" applyFont="1" applyBorder="1"/>
    <xf numFmtId="167" fontId="12" fillId="0" borderId="12" xfId="5" applyNumberFormat="1" applyFont="1" applyFill="1" applyBorder="1" applyAlignment="1"/>
    <xf numFmtId="165" fontId="12" fillId="0" borderId="12" xfId="0" applyNumberFormat="1" applyFont="1" applyBorder="1"/>
    <xf numFmtId="164" fontId="12" fillId="0" borderId="0" xfId="11" applyNumberFormat="1" applyFont="1" applyFill="1" applyBorder="1"/>
    <xf numFmtId="3" fontId="12" fillId="0" borderId="0" xfId="4" applyNumberFormat="1" applyFont="1" applyFill="1" applyBorder="1"/>
    <xf numFmtId="41" fontId="12" fillId="0" borderId="0" xfId="4" applyNumberFormat="1" applyFont="1" applyFill="1" applyBorder="1" applyAlignment="1">
      <alignment horizontal="center"/>
    </xf>
    <xf numFmtId="3" fontId="12" fillId="0" borderId="5" xfId="0" applyNumberFormat="1" applyFont="1" applyBorder="1"/>
    <xf numFmtId="38" fontId="12" fillId="0" borderId="0" xfId="0" quotePrefix="1" applyNumberFormat="1" applyFont="1"/>
    <xf numFmtId="38" fontId="12" fillId="0" borderId="0" xfId="0" applyNumberFormat="1" applyFont="1"/>
    <xf numFmtId="168" fontId="12" fillId="0" borderId="0" xfId="0" applyNumberFormat="1" applyFont="1"/>
    <xf numFmtId="166" fontId="12" fillId="0" borderId="0" xfId="0" applyNumberFormat="1" applyFont="1" applyAlignment="1">
      <alignment horizontal="center"/>
    </xf>
    <xf numFmtId="168" fontId="12" fillId="0" borderId="0" xfId="4" applyNumberFormat="1" applyFont="1" applyFill="1" applyBorder="1"/>
    <xf numFmtId="168" fontId="12" fillId="0" borderId="0" xfId="4" applyNumberFormat="1" applyFont="1" applyFill="1" applyBorder="1" applyAlignment="1">
      <alignment horizontal="center"/>
    </xf>
    <xf numFmtId="166" fontId="12" fillId="0" borderId="6" xfId="11" applyNumberFormat="1" applyFont="1" applyFill="1" applyBorder="1"/>
    <xf numFmtId="164" fontId="12" fillId="0" borderId="6" xfId="11" applyNumberFormat="1" applyFont="1" applyFill="1" applyBorder="1"/>
    <xf numFmtId="3" fontId="12" fillId="0" borderId="6" xfId="4" applyNumberFormat="1" applyFont="1" applyFill="1" applyBorder="1"/>
    <xf numFmtId="41" fontId="12" fillId="0" borderId="6" xfId="4" applyNumberFormat="1" applyFont="1" applyFill="1" applyBorder="1" applyAlignment="1">
      <alignment horizontal="center"/>
    </xf>
    <xf numFmtId="167" fontId="12" fillId="0" borderId="6" xfId="5" applyNumberFormat="1" applyFont="1" applyFill="1" applyBorder="1" applyAlignment="1"/>
    <xf numFmtId="164" fontId="12" fillId="0" borderId="0" xfId="0" applyNumberFormat="1" applyFont="1" applyAlignment="1">
      <alignment horizontal="center"/>
    </xf>
    <xf numFmtId="166" fontId="12" fillId="0" borderId="0" xfId="11" applyNumberFormat="1" applyFont="1" applyFill="1"/>
    <xf numFmtId="43" fontId="0" fillId="0" borderId="0" xfId="0" applyNumberFormat="1"/>
    <xf numFmtId="0" fontId="16" fillId="4" borderId="45" xfId="0" applyFont="1" applyFill="1" applyBorder="1" applyAlignment="1">
      <alignment horizontal="center" vertical="center" wrapText="1"/>
    </xf>
    <xf numFmtId="44" fontId="18" fillId="7" borderId="15" xfId="12" applyNumberFormat="1" applyFont="1" applyFill="1" applyBorder="1"/>
    <xf numFmtId="9" fontId="16" fillId="4" borderId="46" xfId="5" applyFont="1" applyFill="1" applyBorder="1" applyAlignment="1">
      <alignment horizontal="center" vertical="center" wrapText="1"/>
    </xf>
    <xf numFmtId="9" fontId="12" fillId="0" borderId="27" xfId="5" applyFont="1" applyBorder="1"/>
    <xf numFmtId="167" fontId="12" fillId="0" borderId="31" xfId="5" applyNumberFormat="1" applyFont="1" applyBorder="1"/>
    <xf numFmtId="167" fontId="12" fillId="2" borderId="31" xfId="5" applyNumberFormat="1" applyFont="1" applyFill="1" applyBorder="1"/>
    <xf numFmtId="167" fontId="12" fillId="5" borderId="31" xfId="5" applyNumberFormat="1" applyFont="1" applyFill="1" applyBorder="1"/>
    <xf numFmtId="167" fontId="18" fillId="3" borderId="32" xfId="5" applyNumberFormat="1" applyFont="1" applyFill="1" applyBorder="1"/>
    <xf numFmtId="167" fontId="12" fillId="0" borderId="0" xfId="5" applyNumberFormat="1" applyFont="1"/>
    <xf numFmtId="167" fontId="12" fillId="2" borderId="0" xfId="5" applyNumberFormat="1" applyFont="1" applyFill="1"/>
    <xf numFmtId="167" fontId="12" fillId="5" borderId="0" xfId="5" applyNumberFormat="1" applyFont="1" applyFill="1"/>
    <xf numFmtId="167" fontId="18" fillId="3" borderId="5" xfId="5" applyNumberFormat="1" applyFont="1" applyFill="1" applyBorder="1"/>
    <xf numFmtId="167" fontId="12" fillId="0" borderId="27" xfId="5" applyNumberFormat="1" applyFont="1" applyBorder="1"/>
    <xf numFmtId="167" fontId="12" fillId="0" borderId="33" xfId="5" applyNumberFormat="1" applyFont="1" applyBorder="1"/>
    <xf numFmtId="167" fontId="12" fillId="0" borderId="6" xfId="0" applyNumberFormat="1" applyFont="1" applyBorder="1"/>
    <xf numFmtId="167" fontId="12" fillId="2" borderId="6" xfId="5" applyNumberFormat="1" applyFont="1" applyFill="1" applyBorder="1"/>
    <xf numFmtId="167" fontId="12" fillId="5" borderId="6" xfId="5" applyNumberFormat="1" applyFont="1" applyFill="1" applyBorder="1"/>
    <xf numFmtId="167" fontId="18" fillId="3" borderId="7" xfId="5" applyNumberFormat="1" applyFont="1" applyFill="1" applyBorder="1"/>
    <xf numFmtId="167" fontId="19" fillId="0" borderId="0" xfId="5" applyNumberFormat="1" applyFont="1" applyBorder="1"/>
    <xf numFmtId="167" fontId="12" fillId="0" borderId="1" xfId="5" applyNumberFormat="1" applyFont="1" applyBorder="1"/>
    <xf numFmtId="167" fontId="12" fillId="2" borderId="1" xfId="5" applyNumberFormat="1" applyFont="1" applyFill="1" applyBorder="1"/>
    <xf numFmtId="167" fontId="12" fillId="5" borderId="1" xfId="5" applyNumberFormat="1" applyFont="1" applyFill="1" applyBorder="1"/>
    <xf numFmtId="167" fontId="18" fillId="3" borderId="36" xfId="5" applyNumberFormat="1" applyFont="1" applyFill="1" applyBorder="1"/>
    <xf numFmtId="0" fontId="15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164" fontId="12" fillId="8" borderId="0" xfId="0" applyNumberFormat="1" applyFont="1" applyFill="1"/>
    <xf numFmtId="164" fontId="12" fillId="2" borderId="0" xfId="0" applyNumberFormat="1" applyFont="1" applyFill="1"/>
    <xf numFmtId="164" fontId="12" fillId="7" borderId="0" xfId="0" applyNumberFormat="1" applyFont="1" applyFill="1"/>
    <xf numFmtId="164" fontId="12" fillId="2" borderId="44" xfId="0" applyNumberFormat="1" applyFont="1" applyFill="1" applyBorder="1"/>
    <xf numFmtId="167" fontId="12" fillId="2" borderId="40" xfId="5" applyNumberFormat="1" applyFont="1" applyFill="1" applyBorder="1"/>
    <xf numFmtId="167" fontId="12" fillId="2" borderId="0" xfId="5" applyNumberFormat="1" applyFont="1" applyFill="1" applyBorder="1"/>
    <xf numFmtId="167" fontId="12" fillId="8" borderId="0" xfId="5" applyNumberFormat="1" applyFont="1" applyFill="1" applyBorder="1"/>
    <xf numFmtId="167" fontId="12" fillId="8" borderId="44" xfId="5" applyNumberFormat="1" applyFont="1" applyFill="1" applyBorder="1"/>
    <xf numFmtId="167" fontId="12" fillId="7" borderId="0" xfId="5" applyNumberFormat="1" applyFont="1" applyFill="1" applyBorder="1"/>
    <xf numFmtId="164" fontId="12" fillId="8" borderId="44" xfId="0" applyNumberFormat="1" applyFont="1" applyFill="1" applyBorder="1"/>
    <xf numFmtId="167" fontId="19" fillId="8" borderId="0" xfId="5" applyNumberFormat="1" applyFont="1" applyFill="1" applyBorder="1"/>
    <xf numFmtId="167" fontId="19" fillId="2" borderId="0" xfId="5" applyNumberFormat="1" applyFont="1" applyFill="1" applyBorder="1"/>
    <xf numFmtId="164" fontId="12" fillId="2" borderId="40" xfId="0" applyNumberFormat="1" applyFont="1" applyFill="1" applyBorder="1"/>
    <xf numFmtId="167" fontId="12" fillId="8" borderId="40" xfId="5" applyNumberFormat="1" applyFont="1" applyFill="1" applyBorder="1"/>
    <xf numFmtId="164" fontId="12" fillId="7" borderId="40" xfId="0" applyNumberFormat="1" applyFont="1" applyFill="1" applyBorder="1"/>
    <xf numFmtId="167" fontId="12" fillId="7" borderId="40" xfId="5" applyNumberFormat="1" applyFont="1" applyFill="1" applyBorder="1"/>
    <xf numFmtId="0" fontId="17" fillId="6" borderId="0" xfId="13" applyFont="1" applyFill="1" applyAlignment="1">
      <alignment horizontal="left"/>
    </xf>
    <xf numFmtId="0" fontId="0" fillId="0" borderId="6" xfId="0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6" borderId="0" xfId="13" applyFont="1" applyFill="1" applyAlignment="1">
      <alignment horizontal="left" wrapText="1"/>
    </xf>
    <xf numFmtId="0" fontId="0" fillId="0" borderId="0" xfId="0" applyAlignment="1">
      <alignment horizontal="center"/>
    </xf>
    <xf numFmtId="0" fontId="12" fillId="0" borderId="6" xfId="0" applyFont="1" applyBorder="1" applyAlignment="1">
      <alignment horizontal="left"/>
    </xf>
    <xf numFmtId="0" fontId="17" fillId="6" borderId="6" xfId="13" applyFont="1" applyFill="1" applyBorder="1" applyAlignment="1">
      <alignment horizontal="left"/>
    </xf>
    <xf numFmtId="167" fontId="19" fillId="8" borderId="44" xfId="5" applyNumberFormat="1" applyFont="1" applyFill="1" applyBorder="1"/>
    <xf numFmtId="43" fontId="12" fillId="0" borderId="0" xfId="0" applyNumberFormat="1" applyFont="1" applyFill="1"/>
    <xf numFmtId="0" fontId="12" fillId="0" borderId="0" xfId="0" applyFont="1" applyFill="1"/>
    <xf numFmtId="167" fontId="12" fillId="2" borderId="44" xfId="5" applyNumberFormat="1" applyFont="1" applyFill="1" applyBorder="1"/>
    <xf numFmtId="43" fontId="12" fillId="0" borderId="44" xfId="0" applyNumberFormat="1" applyFont="1" applyBorder="1"/>
    <xf numFmtId="170" fontId="12" fillId="0" borderId="44" xfId="4" applyNumberFormat="1" applyFont="1" applyBorder="1"/>
    <xf numFmtId="0" fontId="12" fillId="0" borderId="0" xfId="0" applyFont="1" applyBorder="1" applyAlignment="1">
      <alignment vertical="center"/>
    </xf>
    <xf numFmtId="1" fontId="12" fillId="0" borderId="0" xfId="0" applyNumberFormat="1" applyFont="1" applyBorder="1"/>
    <xf numFmtId="0" fontId="12" fillId="0" borderId="0" xfId="0" applyFont="1" applyBorder="1"/>
    <xf numFmtId="1" fontId="16" fillId="4" borderId="47" xfId="0" applyNumberFormat="1" applyFont="1" applyFill="1" applyBorder="1" applyAlignment="1">
      <alignment horizontal="center" vertical="center" wrapText="1"/>
    </xf>
    <xf numFmtId="38" fontId="16" fillId="4" borderId="47" xfId="0" applyNumberFormat="1" applyFont="1" applyFill="1" applyBorder="1" applyAlignment="1">
      <alignment horizontal="center" vertical="center" wrapText="1"/>
    </xf>
    <xf numFmtId="169" fontId="16" fillId="4" borderId="47" xfId="11" applyNumberFormat="1" applyFont="1" applyFill="1" applyBorder="1" applyAlignment="1">
      <alignment horizontal="center" vertical="center" wrapText="1"/>
    </xf>
    <xf numFmtId="168" fontId="16" fillId="4" borderId="47" xfId="4" applyNumberFormat="1" applyFont="1" applyFill="1" applyBorder="1" applyAlignment="1">
      <alignment horizontal="center" vertical="center" wrapText="1"/>
    </xf>
    <xf numFmtId="40" fontId="16" fillId="4" borderId="47" xfId="0" applyNumberFormat="1" applyFont="1" applyFill="1" applyBorder="1" applyAlignment="1">
      <alignment horizontal="center" vertical="center" wrapText="1"/>
    </xf>
    <xf numFmtId="9" fontId="16" fillId="4" borderId="47" xfId="5" applyFont="1" applyFill="1" applyBorder="1" applyAlignment="1">
      <alignment horizontal="center" vertical="center" wrapText="1"/>
    </xf>
    <xf numFmtId="9" fontId="16" fillId="4" borderId="48" xfId="5" applyFont="1" applyFill="1" applyBorder="1" applyAlignment="1">
      <alignment horizontal="center" vertical="center" wrapText="1"/>
    </xf>
    <xf numFmtId="38" fontId="16" fillId="4" borderId="49" xfId="0" applyNumberFormat="1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vertical="center"/>
    </xf>
    <xf numFmtId="44" fontId="12" fillId="2" borderId="40" xfId="11" applyFont="1" applyFill="1" applyBorder="1"/>
    <xf numFmtId="170" fontId="12" fillId="0" borderId="40" xfId="4" applyNumberFormat="1" applyFont="1" applyBorder="1"/>
    <xf numFmtId="166" fontId="12" fillId="0" borderId="0" xfId="0" applyNumberFormat="1" applyFont="1" applyBorder="1"/>
    <xf numFmtId="3" fontId="12" fillId="0" borderId="0" xfId="0" applyNumberFormat="1" applyFont="1" applyBorder="1"/>
    <xf numFmtId="41" fontId="12" fillId="0" borderId="0" xfId="0" applyNumberFormat="1" applyFont="1" applyBorder="1"/>
    <xf numFmtId="0" fontId="12" fillId="0" borderId="44" xfId="0" applyFont="1" applyBorder="1" applyAlignment="1">
      <alignment vertical="center"/>
    </xf>
    <xf numFmtId="44" fontId="12" fillId="0" borderId="44" xfId="11" applyFont="1" applyBorder="1"/>
    <xf numFmtId="165" fontId="12" fillId="0" borderId="0" xfId="0" applyNumberFormat="1" applyFont="1" applyBorder="1"/>
    <xf numFmtId="0" fontId="12" fillId="0" borderId="0" xfId="0" applyFont="1" applyFill="1" applyAlignment="1">
      <alignment horizontal="left"/>
    </xf>
    <xf numFmtId="166" fontId="12" fillId="0" borderId="0" xfId="0" applyNumberFormat="1" applyFont="1" applyFill="1"/>
    <xf numFmtId="3" fontId="12" fillId="0" borderId="0" xfId="0" applyNumberFormat="1" applyFont="1" applyFill="1"/>
    <xf numFmtId="164" fontId="12" fillId="0" borderId="0" xfId="0" applyNumberFormat="1" applyFont="1" applyFill="1"/>
    <xf numFmtId="165" fontId="12" fillId="0" borderId="0" xfId="0" applyNumberFormat="1" applyFont="1" applyFill="1"/>
    <xf numFmtId="0" fontId="12" fillId="0" borderId="0" xfId="0" applyFont="1" applyFill="1" applyAlignment="1">
      <alignment wrapText="1"/>
    </xf>
    <xf numFmtId="0" fontId="12" fillId="0" borderId="0" xfId="0" applyFont="1" applyFill="1" applyBorder="1"/>
    <xf numFmtId="166" fontId="12" fillId="0" borderId="0" xfId="0" applyNumberFormat="1" applyFont="1" applyFill="1" applyBorder="1"/>
    <xf numFmtId="164" fontId="12" fillId="0" borderId="0" xfId="0" applyNumberFormat="1" applyFont="1" applyFill="1" applyBorder="1"/>
    <xf numFmtId="165" fontId="12" fillId="0" borderId="0" xfId="0" applyNumberFormat="1" applyFont="1" applyFill="1" applyBorder="1"/>
    <xf numFmtId="0" fontId="16" fillId="4" borderId="50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left"/>
    </xf>
    <xf numFmtId="166" fontId="12" fillId="0" borderId="40" xfId="4" applyNumberFormat="1" applyFont="1" applyFill="1" applyBorder="1" applyAlignment="1"/>
    <xf numFmtId="0" fontId="12" fillId="0" borderId="0" xfId="0" applyFont="1" applyBorder="1" applyAlignment="1">
      <alignment horizontal="left"/>
    </xf>
    <xf numFmtId="164" fontId="12" fillId="0" borderId="0" xfId="0" applyNumberFormat="1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/>
  </cellXfs>
  <cellStyles count="14">
    <cellStyle name="Bad" xfId="12" builtinId="27"/>
    <cellStyle name="Comma" xfId="4" builtinId="3"/>
    <cellStyle name="Comma 2" xfId="2" xr:uid="{D1291356-2CF8-4B3F-96C0-097DE07FEFE6}"/>
    <cellStyle name="Comma 2 2" xfId="8" xr:uid="{7DC4E1FB-3810-4861-9637-88E635C466BF}"/>
    <cellStyle name="Comma 3" xfId="3" xr:uid="{D5ADF4DA-1BFE-4026-B221-ACA4BBE30618}"/>
    <cellStyle name="Currency" xfId="11" builtinId="4"/>
    <cellStyle name="Currency 2" xfId="1" xr:uid="{DF5B7D01-3A8D-4028-915E-A9560AD2A06F}"/>
    <cellStyle name="Currency 85" xfId="10" xr:uid="{70326EF5-B639-41F1-8594-225E0690CFAF}"/>
    <cellStyle name="Normal" xfId="0" builtinId="0"/>
    <cellStyle name="Normal 2 2" xfId="6" xr:uid="{9F144BAE-6F55-427B-9C1E-AF17A3CF116A}"/>
    <cellStyle name="Normal 3 2" xfId="7" xr:uid="{302C9DE7-9A16-4076-860F-301B86C48CF8}"/>
    <cellStyle name="Normal_Raw - Rte-Year" xfId="13" xr:uid="{D73EAA97-7747-4E8D-AD78-8553A982DBB5}"/>
    <cellStyle name="Percent" xfId="5" builtinId="5"/>
    <cellStyle name="Percent 2" xfId="9" xr:uid="{FD1F2722-99BC-4A63-AB9E-1BEC38177F41}"/>
  </cellStyles>
  <dxfs count="77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dotted">
          <color auto="1"/>
        </bottom>
        <vertical/>
        <horizontal/>
      </border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border>
        <bottom style="dotted">
          <color auto="1"/>
        </bottom>
        <vertical/>
        <horizontal/>
      </border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430F2-5540-4846-ADF8-D32AEEFA229B}">
  <dimension ref="A1:T10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0" sqref="F10"/>
    </sheetView>
  </sheetViews>
  <sheetFormatPr defaultRowHeight="15" x14ac:dyDescent="0.25"/>
  <cols>
    <col min="1" max="1" width="25.42578125" customWidth="1"/>
    <col min="2" max="2" width="10.140625" customWidth="1"/>
    <col min="3" max="3" width="10.7109375" customWidth="1"/>
    <col min="4" max="4" width="18.85546875" customWidth="1"/>
    <col min="5" max="5" width="10.7109375" customWidth="1"/>
    <col min="6" max="6" width="15.5703125" customWidth="1"/>
    <col min="7" max="7" width="13.85546875" customWidth="1"/>
    <col min="8" max="8" width="13.140625" customWidth="1"/>
    <col min="9" max="9" width="12.5703125" bestFit="1" customWidth="1"/>
    <col min="10" max="10" width="16.28515625" bestFit="1" customWidth="1"/>
    <col min="11" max="11" width="12.5703125" bestFit="1" customWidth="1"/>
    <col min="12" max="14" width="14.140625" customWidth="1"/>
    <col min="15" max="15" width="13.140625" customWidth="1"/>
    <col min="16" max="16" width="40.7109375" style="6" customWidth="1"/>
    <col min="17" max="17" width="16.42578125" bestFit="1" customWidth="1"/>
    <col min="18" max="18" width="20.85546875" bestFit="1" customWidth="1"/>
    <col min="19" max="19" width="26.7109375" bestFit="1" customWidth="1"/>
    <col min="20" max="20" width="19.7109375" bestFit="1" customWidth="1"/>
  </cols>
  <sheetData>
    <row r="1" spans="1:20" ht="22.5" x14ac:dyDescent="0.45">
      <c r="A1" s="13" t="s">
        <v>37</v>
      </c>
    </row>
    <row r="2" spans="1:20" ht="37.5" thickBot="1" x14ac:dyDescent="0.75">
      <c r="A2" s="266" t="s">
        <v>71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47"/>
    </row>
    <row r="3" spans="1:20" s="6" customFormat="1" ht="75.75" thickBot="1" x14ac:dyDescent="0.3">
      <c r="A3" s="57" t="s">
        <v>8</v>
      </c>
      <c r="B3" s="58" t="s">
        <v>96</v>
      </c>
      <c r="C3" s="49" t="s">
        <v>78</v>
      </c>
      <c r="D3" s="49" t="s">
        <v>0</v>
      </c>
      <c r="E3" s="51" t="s">
        <v>1</v>
      </c>
      <c r="F3" s="51" t="s">
        <v>2</v>
      </c>
      <c r="G3" s="51" t="s">
        <v>38</v>
      </c>
      <c r="H3" s="52" t="s">
        <v>40</v>
      </c>
      <c r="I3" s="52" t="s">
        <v>64</v>
      </c>
      <c r="J3" s="53" t="s">
        <v>39</v>
      </c>
      <c r="K3" s="54" t="s">
        <v>14</v>
      </c>
      <c r="L3" s="54" t="s">
        <v>75</v>
      </c>
      <c r="M3" s="227" t="s">
        <v>112</v>
      </c>
      <c r="N3" s="227" t="s">
        <v>114</v>
      </c>
      <c r="O3" s="59" t="s">
        <v>42</v>
      </c>
      <c r="P3" s="57" t="s">
        <v>43</v>
      </c>
    </row>
    <row r="4" spans="1:20" ht="15.75" thickTop="1" x14ac:dyDescent="0.25">
      <c r="A4" s="60" t="s">
        <v>67</v>
      </c>
      <c r="B4" s="61">
        <v>94</v>
      </c>
      <c r="C4" s="61"/>
      <c r="D4" s="62" t="s">
        <v>70</v>
      </c>
      <c r="E4" s="61" t="s">
        <v>33</v>
      </c>
      <c r="F4" s="63">
        <v>2547468.2942574434</v>
      </c>
      <c r="G4" s="63">
        <v>270268.0020975598</v>
      </c>
      <c r="H4" s="64">
        <v>182120.86495650426</v>
      </c>
      <c r="I4" s="64">
        <v>8179.7199999999639</v>
      </c>
      <c r="J4" s="63">
        <f t="shared" ref="J4:J35" si="0">+F4-G4</f>
        <v>2277200.2921598838</v>
      </c>
      <c r="K4" s="65">
        <f t="shared" ref="K4:K35" si="1">+J4/H4</f>
        <v>12.503785838617366</v>
      </c>
      <c r="L4" s="66">
        <f>+IF(E4="Weekdays",K4/$G$59,IF(E4="Saturdays",K4/$G$60,IF(E4="Sundays",K4/$G$61,"NA")))</f>
        <v>0.61642108666887541</v>
      </c>
      <c r="M4" s="254">
        <f>(G4/F4)</f>
        <v>0.10609278345359729</v>
      </c>
      <c r="N4" s="66">
        <f>+IF(E4="Weekdays",M4/$G$65,IF(E4="Saturdays",M4/$G$66,IF(E4="Sundays",M4/$G$67,"NA")))</f>
        <v>0.73293916851687269</v>
      </c>
      <c r="O4" s="67">
        <f t="shared" ref="O4:O35" si="2">+H4/I4</f>
        <v>22.264926544735648</v>
      </c>
      <c r="P4" s="68"/>
    </row>
    <row r="5" spans="1:20" x14ac:dyDescent="0.25">
      <c r="A5" s="69" t="s">
        <v>67</v>
      </c>
      <c r="B5" s="22">
        <v>113</v>
      </c>
      <c r="C5" s="22"/>
      <c r="D5" s="21" t="s">
        <v>70</v>
      </c>
      <c r="E5" s="22" t="s">
        <v>33</v>
      </c>
      <c r="F5" s="31">
        <v>550570.92924631678</v>
      </c>
      <c r="G5" s="31">
        <v>62564.929494735567</v>
      </c>
      <c r="H5" s="70">
        <v>34993.555925512359</v>
      </c>
      <c r="I5" s="70">
        <v>1353.4500000000035</v>
      </c>
      <c r="J5" s="31">
        <f t="shared" si="0"/>
        <v>488005.99975158123</v>
      </c>
      <c r="K5" s="25">
        <f t="shared" si="1"/>
        <v>13.945596177489243</v>
      </c>
      <c r="L5" s="71">
        <f t="shared" ref="L5:L44" si="3">+IF(E5="Weekdays",K5/$G$59,IF(E5="Saturdays",K5/$G$60,IF(E5="Sundays",K5/$G$61,"NA")))</f>
        <v>0.68750054270953476</v>
      </c>
      <c r="M5" s="255">
        <f t="shared" ref="M5:M55" si="4">G5/F5</f>
        <v>0.11363645657859461</v>
      </c>
      <c r="N5" s="71">
        <f t="shared" ref="N5:N55" si="5">+IF(E5="Weekdays",M5/$G$65,IF(E5="Saturdays",M5/$G$66,IF(E5="Sundays",M5/$G$67,"NA")))</f>
        <v>0.78505443336160075</v>
      </c>
      <c r="O5" s="27">
        <f t="shared" si="2"/>
        <v>25.855078448049259</v>
      </c>
      <c r="P5" s="72"/>
    </row>
    <row r="6" spans="1:20" x14ac:dyDescent="0.25">
      <c r="A6" s="69" t="s">
        <v>67</v>
      </c>
      <c r="B6" s="22">
        <v>114</v>
      </c>
      <c r="C6" s="22"/>
      <c r="D6" s="21" t="s">
        <v>70</v>
      </c>
      <c r="E6" s="22" t="s">
        <v>33</v>
      </c>
      <c r="F6" s="31">
        <v>616240.15985534724</v>
      </c>
      <c r="G6" s="31">
        <v>83078.986048474675</v>
      </c>
      <c r="H6" s="70">
        <v>46721.615881615937</v>
      </c>
      <c r="I6" s="70">
        <v>1456.9599999999973</v>
      </c>
      <c r="J6" s="31">
        <f t="shared" si="0"/>
        <v>533161.17380687257</v>
      </c>
      <c r="K6" s="25">
        <f t="shared" si="1"/>
        <v>11.411445510741878</v>
      </c>
      <c r="L6" s="71">
        <f t="shared" si="3"/>
        <v>0.5625700674166374</v>
      </c>
      <c r="M6" s="71">
        <f t="shared" si="4"/>
        <v>0.13481592317510785</v>
      </c>
      <c r="N6" s="71">
        <f t="shared" si="5"/>
        <v>0.93137221419038663</v>
      </c>
      <c r="O6" s="27">
        <f t="shared" si="2"/>
        <v>32.067878240731403</v>
      </c>
      <c r="P6" s="72"/>
    </row>
    <row r="7" spans="1:20" x14ac:dyDescent="0.25">
      <c r="A7" s="69" t="s">
        <v>67</v>
      </c>
      <c r="B7" s="22">
        <v>250</v>
      </c>
      <c r="C7" s="22"/>
      <c r="D7" s="21" t="s">
        <v>70</v>
      </c>
      <c r="E7" s="22" t="s">
        <v>33</v>
      </c>
      <c r="F7" s="31">
        <v>1368907.5328224779</v>
      </c>
      <c r="G7" s="31">
        <v>358494.32549590326</v>
      </c>
      <c r="H7" s="70">
        <v>88694.29976750612</v>
      </c>
      <c r="I7" s="70">
        <v>3153.1900000000087</v>
      </c>
      <c r="J7" s="31">
        <f t="shared" si="0"/>
        <v>1010413.2073265746</v>
      </c>
      <c r="K7" s="25">
        <f t="shared" si="1"/>
        <v>11.392087315364856</v>
      </c>
      <c r="L7" s="71">
        <f t="shared" si="3"/>
        <v>0.5616157324668658</v>
      </c>
      <c r="M7" s="71">
        <f t="shared" si="4"/>
        <v>0.26188352164060552</v>
      </c>
      <c r="N7" s="71">
        <f t="shared" si="5"/>
        <v>1.8092153335150107</v>
      </c>
      <c r="O7" s="27">
        <f t="shared" si="2"/>
        <v>28.128434939697854</v>
      </c>
      <c r="P7" s="72"/>
    </row>
    <row r="8" spans="1:20" x14ac:dyDescent="0.25">
      <c r="A8" s="69" t="s">
        <v>67</v>
      </c>
      <c r="B8" s="22">
        <v>252</v>
      </c>
      <c r="C8" s="22"/>
      <c r="D8" s="21" t="s">
        <v>70</v>
      </c>
      <c r="E8" s="22" t="s">
        <v>33</v>
      </c>
      <c r="F8" s="31">
        <v>249128.40646240325</v>
      </c>
      <c r="G8" s="31">
        <v>29255.997712993132</v>
      </c>
      <c r="H8" s="70">
        <v>12980.136345413153</v>
      </c>
      <c r="I8" s="70">
        <v>496.23999999999944</v>
      </c>
      <c r="J8" s="31">
        <f t="shared" si="0"/>
        <v>219872.40874941013</v>
      </c>
      <c r="K8" s="25">
        <f t="shared" si="1"/>
        <v>16.939144774631536</v>
      </c>
      <c r="L8" s="71">
        <f t="shared" si="3"/>
        <v>0.83507876446277829</v>
      </c>
      <c r="M8" s="71">
        <f t="shared" si="4"/>
        <v>0.11743340764879114</v>
      </c>
      <c r="N8" s="71">
        <f t="shared" si="5"/>
        <v>0.81128556869142543</v>
      </c>
      <c r="O8" s="27">
        <f t="shared" si="2"/>
        <v>26.156973128754569</v>
      </c>
      <c r="P8" s="72"/>
    </row>
    <row r="9" spans="1:20" x14ac:dyDescent="0.25">
      <c r="A9" s="69" t="s">
        <v>67</v>
      </c>
      <c r="B9" s="22">
        <v>264</v>
      </c>
      <c r="C9" s="22"/>
      <c r="D9" s="21" t="s">
        <v>70</v>
      </c>
      <c r="E9" s="22" t="s">
        <v>33</v>
      </c>
      <c r="F9" s="31">
        <v>237330.90360455774</v>
      </c>
      <c r="G9" s="31">
        <v>47187.400816271969</v>
      </c>
      <c r="H9" s="70">
        <v>11340.562105169169</v>
      </c>
      <c r="I9" s="70">
        <v>628.31999999999982</v>
      </c>
      <c r="J9" s="31">
        <f t="shared" si="0"/>
        <v>190143.50278828578</v>
      </c>
      <c r="K9" s="25">
        <f t="shared" si="1"/>
        <v>16.766673558589837</v>
      </c>
      <c r="L9" s="71">
        <f t="shared" si="3"/>
        <v>0.82657614807253443</v>
      </c>
      <c r="M9" s="71">
        <f t="shared" si="4"/>
        <v>0.19882535354475334</v>
      </c>
      <c r="N9" s="71">
        <f t="shared" si="5"/>
        <v>1.3735796588926574</v>
      </c>
      <c r="O9" s="27">
        <f t="shared" si="2"/>
        <v>18.049022958316101</v>
      </c>
      <c r="P9" s="72"/>
      <c r="Q9" s="2"/>
      <c r="S9" s="2"/>
      <c r="T9" s="2"/>
    </row>
    <row r="10" spans="1:20" x14ac:dyDescent="0.25">
      <c r="A10" s="69" t="s">
        <v>67</v>
      </c>
      <c r="B10" s="22">
        <v>270</v>
      </c>
      <c r="C10" s="22"/>
      <c r="D10" s="21" t="s">
        <v>70</v>
      </c>
      <c r="E10" s="22" t="s">
        <v>33</v>
      </c>
      <c r="F10" s="31">
        <v>536539.94885113556</v>
      </c>
      <c r="G10" s="31">
        <v>148834.86604073038</v>
      </c>
      <c r="H10" s="70">
        <v>37889.373198624351</v>
      </c>
      <c r="I10" s="70">
        <v>1263.7199999999966</v>
      </c>
      <c r="J10" s="31">
        <f t="shared" si="0"/>
        <v>387705.08281040518</v>
      </c>
      <c r="K10" s="25">
        <f t="shared" si="1"/>
        <v>10.232554673785989</v>
      </c>
      <c r="L10" s="71">
        <f t="shared" si="3"/>
        <v>0.5044522157387904</v>
      </c>
      <c r="M10" s="71">
        <f t="shared" si="4"/>
        <v>0.27739754767454422</v>
      </c>
      <c r="N10" s="71">
        <f t="shared" si="5"/>
        <v>1.9163935691264602</v>
      </c>
      <c r="O10" s="27">
        <f t="shared" si="2"/>
        <v>29.982411609078319</v>
      </c>
      <c r="P10" s="72"/>
      <c r="Q10" s="8"/>
      <c r="S10" s="8"/>
      <c r="T10" s="10"/>
    </row>
    <row r="11" spans="1:20" x14ac:dyDescent="0.25">
      <c r="A11" s="69" t="s">
        <v>67</v>
      </c>
      <c r="B11" s="22">
        <v>275</v>
      </c>
      <c r="C11" s="22"/>
      <c r="D11" s="21" t="s">
        <v>70</v>
      </c>
      <c r="E11" s="22" t="s">
        <v>33</v>
      </c>
      <c r="F11" s="31">
        <v>292348.48435674212</v>
      </c>
      <c r="G11" s="31">
        <v>53207.275113848737</v>
      </c>
      <c r="H11" s="70">
        <v>13840.548240229884</v>
      </c>
      <c r="I11" s="70">
        <v>652.74000000000126</v>
      </c>
      <c r="J11" s="31">
        <f t="shared" si="0"/>
        <v>239141.20924289338</v>
      </c>
      <c r="K11" s="25">
        <f t="shared" si="1"/>
        <v>17.278304666269591</v>
      </c>
      <c r="L11" s="71">
        <f t="shared" si="3"/>
        <v>0.85179892519300604</v>
      </c>
      <c r="M11" s="71">
        <f t="shared" si="4"/>
        <v>0.18199949020061226</v>
      </c>
      <c r="N11" s="71">
        <f t="shared" si="5"/>
        <v>1.2573386301668235</v>
      </c>
      <c r="O11" s="27">
        <f t="shared" si="2"/>
        <v>21.203769096776444</v>
      </c>
      <c r="P11" s="72"/>
    </row>
    <row r="12" spans="1:20" x14ac:dyDescent="0.25">
      <c r="A12" s="69" t="s">
        <v>67</v>
      </c>
      <c r="B12" s="22">
        <v>294</v>
      </c>
      <c r="C12" s="22"/>
      <c r="D12" s="21" t="s">
        <v>70</v>
      </c>
      <c r="E12" s="22" t="s">
        <v>33</v>
      </c>
      <c r="F12" s="31">
        <v>198099.47553947102</v>
      </c>
      <c r="G12" s="31">
        <v>24559.777192256282</v>
      </c>
      <c r="H12" s="70">
        <v>7863.4980556555565</v>
      </c>
      <c r="I12" s="70">
        <v>602.13999999999908</v>
      </c>
      <c r="J12" s="31">
        <f t="shared" si="0"/>
        <v>173539.69834721473</v>
      </c>
      <c r="K12" s="25">
        <f t="shared" si="1"/>
        <v>22.069020316270333</v>
      </c>
      <c r="L12" s="71">
        <f t="shared" si="3"/>
        <v>1.0879752469094688</v>
      </c>
      <c r="M12" s="71">
        <f t="shared" si="4"/>
        <v>0.12397699249518096</v>
      </c>
      <c r="N12" s="71">
        <f t="shared" si="5"/>
        <v>0.85649175030254554</v>
      </c>
      <c r="O12" s="27">
        <f t="shared" si="2"/>
        <v>13.05925209362535</v>
      </c>
      <c r="P12" s="72"/>
    </row>
    <row r="13" spans="1:20" x14ac:dyDescent="0.25">
      <c r="A13" s="69" t="s">
        <v>67</v>
      </c>
      <c r="B13" s="22">
        <v>351</v>
      </c>
      <c r="C13" s="22"/>
      <c r="D13" s="21" t="s">
        <v>70</v>
      </c>
      <c r="E13" s="22" t="s">
        <v>33</v>
      </c>
      <c r="F13" s="31">
        <v>21544.531924426235</v>
      </c>
      <c r="G13" s="31">
        <v>2551.1320408364522</v>
      </c>
      <c r="H13" s="70">
        <v>659.37134312226362</v>
      </c>
      <c r="I13" s="70">
        <v>45.599999999999987</v>
      </c>
      <c r="J13" s="31">
        <f t="shared" si="0"/>
        <v>18993.399883589784</v>
      </c>
      <c r="K13" s="250">
        <f t="shared" si="1"/>
        <v>28.805315975140797</v>
      </c>
      <c r="L13" s="71">
        <f t="shared" si="3"/>
        <v>1.4200662426892652</v>
      </c>
      <c r="M13" s="71">
        <f t="shared" si="4"/>
        <v>0.11841204300865278</v>
      </c>
      <c r="N13" s="71">
        <f t="shared" si="5"/>
        <v>0.81804644500731483</v>
      </c>
      <c r="O13" s="27">
        <f t="shared" si="2"/>
        <v>14.459897875488242</v>
      </c>
      <c r="P13" s="72"/>
    </row>
    <row r="14" spans="1:20" x14ac:dyDescent="0.25">
      <c r="A14" s="69" t="s">
        <v>67</v>
      </c>
      <c r="B14" s="22">
        <v>353</v>
      </c>
      <c r="C14" s="22"/>
      <c r="D14" s="21" t="s">
        <v>70</v>
      </c>
      <c r="E14" s="22" t="s">
        <v>33</v>
      </c>
      <c r="F14" s="31">
        <v>745910.79147847963</v>
      </c>
      <c r="G14" s="31">
        <v>198555.77081094016</v>
      </c>
      <c r="H14" s="70">
        <v>59755.918593288734</v>
      </c>
      <c r="I14" s="70">
        <v>1698.9800000000034</v>
      </c>
      <c r="J14" s="31">
        <f t="shared" si="0"/>
        <v>547355.02066753944</v>
      </c>
      <c r="K14" s="25">
        <f t="shared" si="1"/>
        <v>9.1598461466712955</v>
      </c>
      <c r="L14" s="71">
        <f t="shared" si="3"/>
        <v>0.45156901984136877</v>
      </c>
      <c r="M14" s="71">
        <f t="shared" si="4"/>
        <v>0.26619238262712375</v>
      </c>
      <c r="N14" s="71">
        <f t="shared" si="5"/>
        <v>1.8389829848661015</v>
      </c>
      <c r="O14" s="27">
        <f t="shared" si="2"/>
        <v>35.1716433349943</v>
      </c>
      <c r="P14" s="72"/>
    </row>
    <row r="15" spans="1:20" x14ac:dyDescent="0.25">
      <c r="A15" s="69" t="s">
        <v>67</v>
      </c>
      <c r="B15" s="22">
        <v>355</v>
      </c>
      <c r="C15" s="22"/>
      <c r="D15" s="21" t="s">
        <v>70</v>
      </c>
      <c r="E15" s="22" t="s">
        <v>33</v>
      </c>
      <c r="F15" s="31">
        <v>245378.90925586401</v>
      </c>
      <c r="G15" s="31">
        <v>54085.243475740273</v>
      </c>
      <c r="H15" s="70">
        <v>12338.473237414237</v>
      </c>
      <c r="I15" s="70">
        <v>507.39000000000118</v>
      </c>
      <c r="J15" s="31">
        <f t="shared" si="0"/>
        <v>191293.66578012373</v>
      </c>
      <c r="K15" s="25">
        <f t="shared" si="1"/>
        <v>15.503836017576271</v>
      </c>
      <c r="L15" s="71">
        <f t="shared" si="3"/>
        <v>0.76431982831746814</v>
      </c>
      <c r="M15" s="71">
        <f t="shared" si="4"/>
        <v>0.2204152086247313</v>
      </c>
      <c r="N15" s="71">
        <f t="shared" si="5"/>
        <v>1.5227325976280233</v>
      </c>
      <c r="O15" s="27">
        <f t="shared" si="2"/>
        <v>24.317533332178812</v>
      </c>
      <c r="P15" s="72"/>
    </row>
    <row r="16" spans="1:20" x14ac:dyDescent="0.25">
      <c r="A16" s="69" t="s">
        <v>67</v>
      </c>
      <c r="B16" s="21">
        <v>363</v>
      </c>
      <c r="C16" s="21"/>
      <c r="D16" s="21" t="s">
        <v>70</v>
      </c>
      <c r="E16" s="21" t="s">
        <v>33</v>
      </c>
      <c r="F16" s="31">
        <v>589228.39101689588</v>
      </c>
      <c r="G16" s="31">
        <v>117134.73194509231</v>
      </c>
      <c r="H16" s="70">
        <v>30099.83306613101</v>
      </c>
      <c r="I16" s="70">
        <v>1282.7100000000012</v>
      </c>
      <c r="J16" s="31">
        <f t="shared" si="0"/>
        <v>472093.65907180356</v>
      </c>
      <c r="K16" s="25">
        <f t="shared" si="1"/>
        <v>15.684261704527978</v>
      </c>
      <c r="L16" s="71">
        <f t="shared" si="3"/>
        <v>0.7732145902279175</v>
      </c>
      <c r="M16" s="71">
        <f t="shared" si="4"/>
        <v>0.19879342837323247</v>
      </c>
      <c r="N16" s="71">
        <f t="shared" si="5"/>
        <v>1.37335910469559</v>
      </c>
      <c r="O16" s="27">
        <f t="shared" si="2"/>
        <v>23.465813056833564</v>
      </c>
      <c r="P16" s="72"/>
    </row>
    <row r="17" spans="1:16" x14ac:dyDescent="0.25">
      <c r="A17" s="69" t="s">
        <v>67</v>
      </c>
      <c r="B17" s="21">
        <v>578</v>
      </c>
      <c r="C17" s="21"/>
      <c r="D17" s="21" t="s">
        <v>70</v>
      </c>
      <c r="E17" s="21" t="s">
        <v>33</v>
      </c>
      <c r="F17" s="31">
        <v>244438.93546919967</v>
      </c>
      <c r="G17" s="31">
        <v>50384.390960998251</v>
      </c>
      <c r="H17" s="70">
        <v>12875.97025645229</v>
      </c>
      <c r="I17" s="70">
        <v>543.94999999999743</v>
      </c>
      <c r="J17" s="31">
        <f t="shared" si="0"/>
        <v>194054.54450820142</v>
      </c>
      <c r="K17" s="25">
        <f t="shared" si="1"/>
        <v>15.071061880634476</v>
      </c>
      <c r="L17" s="71">
        <f t="shared" si="3"/>
        <v>0.74298460175337144</v>
      </c>
      <c r="M17" s="71">
        <f t="shared" si="4"/>
        <v>0.20612260834913879</v>
      </c>
      <c r="N17" s="71">
        <f t="shared" si="5"/>
        <v>1.4239925493332342</v>
      </c>
      <c r="O17" s="27">
        <f t="shared" si="2"/>
        <v>23.671238636735641</v>
      </c>
      <c r="P17" s="72"/>
    </row>
    <row r="18" spans="1:16" x14ac:dyDescent="0.25">
      <c r="A18" s="69" t="s">
        <v>67</v>
      </c>
      <c r="B18" s="21">
        <v>667</v>
      </c>
      <c r="C18" s="21"/>
      <c r="D18" s="21" t="s">
        <v>70</v>
      </c>
      <c r="E18" s="21" t="s">
        <v>33</v>
      </c>
      <c r="F18" s="31">
        <v>327077.60435075039</v>
      </c>
      <c r="G18" s="31">
        <v>58666.454601444835</v>
      </c>
      <c r="H18" s="70">
        <v>16981.155822399905</v>
      </c>
      <c r="I18" s="70">
        <v>753.94000000000267</v>
      </c>
      <c r="J18" s="31">
        <f t="shared" si="0"/>
        <v>268411.14974930556</v>
      </c>
      <c r="K18" s="25">
        <f t="shared" si="1"/>
        <v>15.806412269961237</v>
      </c>
      <c r="L18" s="71">
        <f t="shared" si="3"/>
        <v>0.77923646114392742</v>
      </c>
      <c r="M18" s="71">
        <f t="shared" si="4"/>
        <v>0.17936555062489787</v>
      </c>
      <c r="N18" s="71">
        <f t="shared" si="5"/>
        <v>1.2391421287677236</v>
      </c>
      <c r="O18" s="27">
        <f t="shared" si="2"/>
        <v>22.523219118762562</v>
      </c>
      <c r="P18" s="72"/>
    </row>
    <row r="19" spans="1:16" x14ac:dyDescent="0.25">
      <c r="A19" s="69" t="s">
        <v>67</v>
      </c>
      <c r="B19" s="21">
        <v>673</v>
      </c>
      <c r="C19" s="21"/>
      <c r="D19" s="21" t="s">
        <v>70</v>
      </c>
      <c r="E19" s="21" t="s">
        <v>33</v>
      </c>
      <c r="F19" s="31">
        <v>253564.16771672695</v>
      </c>
      <c r="G19" s="31">
        <v>65440.281748845475</v>
      </c>
      <c r="H19" s="70">
        <v>16009.286212395053</v>
      </c>
      <c r="I19" s="70">
        <v>690.69000000000244</v>
      </c>
      <c r="J19" s="31">
        <f t="shared" si="0"/>
        <v>188123.88596788148</v>
      </c>
      <c r="K19" s="25">
        <f t="shared" si="1"/>
        <v>11.75092277519707</v>
      </c>
      <c r="L19" s="71">
        <f t="shared" si="3"/>
        <v>0.57930587423192648</v>
      </c>
      <c r="M19" s="71">
        <f t="shared" si="4"/>
        <v>0.25808174056341066</v>
      </c>
      <c r="N19" s="71">
        <f t="shared" si="5"/>
        <v>1.7829508302104939</v>
      </c>
      <c r="O19" s="27">
        <f t="shared" si="2"/>
        <v>23.178685390544231</v>
      </c>
      <c r="P19" s="72"/>
    </row>
    <row r="20" spans="1:16" x14ac:dyDescent="0.25">
      <c r="A20" s="69" t="s">
        <v>67</v>
      </c>
      <c r="B20" s="21">
        <v>755</v>
      </c>
      <c r="C20" s="21"/>
      <c r="D20" s="21" t="s">
        <v>70</v>
      </c>
      <c r="E20" s="21" t="s">
        <v>33</v>
      </c>
      <c r="F20" s="31">
        <v>917938.47196616034</v>
      </c>
      <c r="G20" s="31">
        <v>63467.312543566593</v>
      </c>
      <c r="H20" s="70">
        <v>36869.5871876975</v>
      </c>
      <c r="I20" s="70">
        <v>2623.6099999999838</v>
      </c>
      <c r="J20" s="31">
        <f t="shared" si="0"/>
        <v>854471.15942259377</v>
      </c>
      <c r="K20" s="25">
        <f t="shared" si="1"/>
        <v>23.175501127056567</v>
      </c>
      <c r="L20" s="71">
        <f t="shared" si="3"/>
        <v>1.1425233743779193</v>
      </c>
      <c r="M20" s="256">
        <f t="shared" si="4"/>
        <v>6.9141140154659844E-2</v>
      </c>
      <c r="N20" s="71">
        <f t="shared" si="5"/>
        <v>0.47765972505971294</v>
      </c>
      <c r="O20" s="27">
        <f t="shared" si="2"/>
        <v>14.052998421144045</v>
      </c>
      <c r="P20" s="72"/>
    </row>
    <row r="21" spans="1:16" x14ac:dyDescent="0.25">
      <c r="A21" s="69" t="s">
        <v>67</v>
      </c>
      <c r="B21" s="21">
        <v>760</v>
      </c>
      <c r="C21" s="21"/>
      <c r="D21" s="21" t="s">
        <v>70</v>
      </c>
      <c r="E21" s="21" t="s">
        <v>33</v>
      </c>
      <c r="F21" s="31">
        <v>315496.37864735664</v>
      </c>
      <c r="G21" s="31">
        <v>47655.409450222738</v>
      </c>
      <c r="H21" s="70">
        <v>14262.42090052138</v>
      </c>
      <c r="I21" s="70">
        <v>847.55000000000371</v>
      </c>
      <c r="J21" s="31">
        <f t="shared" si="0"/>
        <v>267840.96919713391</v>
      </c>
      <c r="K21" s="25">
        <f t="shared" si="1"/>
        <v>18.779488493944438</v>
      </c>
      <c r="L21" s="71">
        <f t="shared" si="3"/>
        <v>0.92580542036882185</v>
      </c>
      <c r="M21" s="71">
        <f t="shared" si="4"/>
        <v>0.15104899033877395</v>
      </c>
      <c r="N21" s="71">
        <f t="shared" si="5"/>
        <v>1.0435179262936027</v>
      </c>
      <c r="O21" s="27">
        <f t="shared" si="2"/>
        <v>16.827822429970286</v>
      </c>
      <c r="P21" s="72"/>
    </row>
    <row r="22" spans="1:16" x14ac:dyDescent="0.25">
      <c r="A22" s="69" t="s">
        <v>67</v>
      </c>
      <c r="B22" s="21">
        <v>761</v>
      </c>
      <c r="C22" s="21"/>
      <c r="D22" s="21" t="s">
        <v>70</v>
      </c>
      <c r="E22" s="21" t="s">
        <v>33</v>
      </c>
      <c r="F22" s="31">
        <v>233290.26407471535</v>
      </c>
      <c r="G22" s="31">
        <v>22398.191725464072</v>
      </c>
      <c r="H22" s="70">
        <v>8360.3702999988745</v>
      </c>
      <c r="I22" s="70">
        <v>586.96000000000038</v>
      </c>
      <c r="J22" s="31">
        <f t="shared" si="0"/>
        <v>210892.07234925128</v>
      </c>
      <c r="K22" s="251">
        <f t="shared" si="1"/>
        <v>25.225207111852409</v>
      </c>
      <c r="L22" s="71">
        <f t="shared" si="3"/>
        <v>1.2435713295178215</v>
      </c>
      <c r="M22" s="255">
        <f t="shared" si="4"/>
        <v>9.6009972016194614E-2</v>
      </c>
      <c r="N22" s="71">
        <f t="shared" si="5"/>
        <v>0.66328233427541272</v>
      </c>
      <c r="O22" s="27">
        <f t="shared" si="2"/>
        <v>14.243509438460661</v>
      </c>
      <c r="P22" s="72"/>
    </row>
    <row r="23" spans="1:16" x14ac:dyDescent="0.25">
      <c r="A23" s="69" t="s">
        <v>67</v>
      </c>
      <c r="B23" s="21">
        <v>763</v>
      </c>
      <c r="C23" s="21"/>
      <c r="D23" s="21" t="s">
        <v>70</v>
      </c>
      <c r="E23" s="21" t="s">
        <v>33</v>
      </c>
      <c r="F23" s="31">
        <v>215578.4128777718</v>
      </c>
      <c r="G23" s="31">
        <v>29585.756047998042</v>
      </c>
      <c r="H23" s="70">
        <v>8978.0752075367927</v>
      </c>
      <c r="I23" s="70">
        <v>607.19999999999709</v>
      </c>
      <c r="J23" s="31">
        <f t="shared" si="0"/>
        <v>185992.65682977377</v>
      </c>
      <c r="K23" s="25">
        <f t="shared" si="1"/>
        <v>20.716317532475021</v>
      </c>
      <c r="L23" s="71">
        <f t="shared" si="3"/>
        <v>1.021288682480969</v>
      </c>
      <c r="M23" s="71">
        <f t="shared" si="4"/>
        <v>0.13723895474067022</v>
      </c>
      <c r="N23" s="71">
        <f t="shared" si="5"/>
        <v>0.94811166321926599</v>
      </c>
      <c r="O23" s="27">
        <f t="shared" si="2"/>
        <v>14.786026362873576</v>
      </c>
      <c r="P23" s="72"/>
    </row>
    <row r="24" spans="1:16" x14ac:dyDescent="0.25">
      <c r="A24" s="69" t="s">
        <v>67</v>
      </c>
      <c r="B24" s="21">
        <v>764</v>
      </c>
      <c r="C24" s="21"/>
      <c r="D24" s="21" t="s">
        <v>70</v>
      </c>
      <c r="E24" s="21" t="s">
        <v>33</v>
      </c>
      <c r="F24" s="31">
        <v>133829.80767032091</v>
      </c>
      <c r="G24" s="31">
        <v>30454.024693793421</v>
      </c>
      <c r="H24" s="70">
        <v>8661.4102970957683</v>
      </c>
      <c r="I24" s="70">
        <v>371.91000000000196</v>
      </c>
      <c r="J24" s="31">
        <f t="shared" si="0"/>
        <v>103375.78297652749</v>
      </c>
      <c r="K24" s="25">
        <f t="shared" si="1"/>
        <v>11.935213715852962</v>
      </c>
      <c r="L24" s="71">
        <f t="shared" si="3"/>
        <v>0.58839118834147264</v>
      </c>
      <c r="M24" s="71">
        <f t="shared" si="4"/>
        <v>0.22755786041936554</v>
      </c>
      <c r="N24" s="71">
        <f t="shared" si="5"/>
        <v>1.5720774172938632</v>
      </c>
      <c r="O24" s="27">
        <f t="shared" si="2"/>
        <v>23.288995448080779</v>
      </c>
      <c r="P24" s="72"/>
    </row>
    <row r="25" spans="1:16" x14ac:dyDescent="0.25">
      <c r="A25" s="69" t="s">
        <v>67</v>
      </c>
      <c r="B25" s="21">
        <v>766</v>
      </c>
      <c r="C25" s="21"/>
      <c r="D25" s="21" t="s">
        <v>70</v>
      </c>
      <c r="E25" s="21" t="s">
        <v>33</v>
      </c>
      <c r="F25" s="31">
        <v>504125.41032738693</v>
      </c>
      <c r="G25" s="31">
        <v>53445.232945470576</v>
      </c>
      <c r="H25" s="70">
        <v>16073.869187550788</v>
      </c>
      <c r="I25" s="70">
        <v>1310.5399999999991</v>
      </c>
      <c r="J25" s="31">
        <f t="shared" si="0"/>
        <v>450680.17738191632</v>
      </c>
      <c r="K25" s="250">
        <f t="shared" si="1"/>
        <v>28.038064272102456</v>
      </c>
      <c r="L25" s="71">
        <f t="shared" si="3"/>
        <v>1.3822416882191499</v>
      </c>
      <c r="M25" s="255">
        <f t="shared" si="4"/>
        <v>0.10601574895969319</v>
      </c>
      <c r="N25" s="71">
        <f t="shared" si="5"/>
        <v>0.73240697776768859</v>
      </c>
      <c r="O25" s="27">
        <f t="shared" si="2"/>
        <v>12.265073319052298</v>
      </c>
      <c r="P25" s="72"/>
    </row>
    <row r="26" spans="1:16" x14ac:dyDescent="0.25">
      <c r="A26" s="69" t="s">
        <v>67</v>
      </c>
      <c r="B26" s="21">
        <v>768</v>
      </c>
      <c r="C26" s="21"/>
      <c r="D26" s="21" t="s">
        <v>70</v>
      </c>
      <c r="E26" s="21" t="s">
        <v>33</v>
      </c>
      <c r="F26" s="31">
        <v>834923.39765234222</v>
      </c>
      <c r="G26" s="31">
        <v>227602.69642550431</v>
      </c>
      <c r="H26" s="70">
        <v>57403.848304552448</v>
      </c>
      <c r="I26" s="70">
        <v>1679.5299999999918</v>
      </c>
      <c r="J26" s="31">
        <f t="shared" si="0"/>
        <v>607320.70122683793</v>
      </c>
      <c r="K26" s="25">
        <f t="shared" si="1"/>
        <v>10.579790713764289</v>
      </c>
      <c r="L26" s="71">
        <f t="shared" si="3"/>
        <v>0.52157052053516306</v>
      </c>
      <c r="M26" s="71">
        <f t="shared" si="4"/>
        <v>0.27260308797846972</v>
      </c>
      <c r="N26" s="71">
        <f t="shared" si="5"/>
        <v>1.8832711720251958</v>
      </c>
      <c r="O26" s="27">
        <f t="shared" si="2"/>
        <v>34.178519171763966</v>
      </c>
      <c r="P26" s="72"/>
    </row>
    <row r="27" spans="1:16" x14ac:dyDescent="0.25">
      <c r="A27" s="69" t="s">
        <v>67</v>
      </c>
      <c r="B27" s="21">
        <v>824</v>
      </c>
      <c r="C27" s="21"/>
      <c r="D27" s="21" t="s">
        <v>70</v>
      </c>
      <c r="E27" s="21" t="s">
        <v>33</v>
      </c>
      <c r="F27" s="31">
        <v>133135.22527044007</v>
      </c>
      <c r="G27" s="31">
        <v>21436.91678099534</v>
      </c>
      <c r="H27" s="70">
        <v>7434.3337691368006</v>
      </c>
      <c r="I27" s="70">
        <v>371.91000000000196</v>
      </c>
      <c r="J27" s="31">
        <f t="shared" si="0"/>
        <v>111698.30848944474</v>
      </c>
      <c r="K27" s="25">
        <f t="shared" si="1"/>
        <v>15.024656137064184</v>
      </c>
      <c r="L27" s="71">
        <f t="shared" si="3"/>
        <v>0.74069685632582816</v>
      </c>
      <c r="M27" s="71">
        <f t="shared" si="4"/>
        <v>0.16101611528767185</v>
      </c>
      <c r="N27" s="71">
        <f t="shared" si="5"/>
        <v>1.1123755435107454</v>
      </c>
      <c r="O27" s="27">
        <f t="shared" si="2"/>
        <v>19.989604391214975</v>
      </c>
      <c r="P27" s="72"/>
    </row>
    <row r="28" spans="1:16" x14ac:dyDescent="0.25">
      <c r="A28" s="69" t="s">
        <v>67</v>
      </c>
      <c r="B28" s="21">
        <v>850</v>
      </c>
      <c r="C28" s="21"/>
      <c r="D28" s="21" t="s">
        <v>70</v>
      </c>
      <c r="E28" s="21" t="s">
        <v>33</v>
      </c>
      <c r="F28" s="31">
        <v>1573763.5898506027</v>
      </c>
      <c r="G28" s="31">
        <v>361498.22833286301</v>
      </c>
      <c r="H28" s="70">
        <v>91360.951644904213</v>
      </c>
      <c r="I28" s="70">
        <v>3459.9299999999812</v>
      </c>
      <c r="J28" s="31">
        <f t="shared" si="0"/>
        <v>1212265.3615177397</v>
      </c>
      <c r="K28" s="25">
        <f t="shared" si="1"/>
        <v>13.268966004529961</v>
      </c>
      <c r="L28" s="71">
        <f t="shared" si="3"/>
        <v>0.65414351693576078</v>
      </c>
      <c r="M28" s="71">
        <f t="shared" si="4"/>
        <v>0.22970300664230009</v>
      </c>
      <c r="N28" s="71">
        <f t="shared" si="5"/>
        <v>1.5868971028351746</v>
      </c>
      <c r="O28" s="27">
        <f t="shared" si="2"/>
        <v>26.405433533309839</v>
      </c>
      <c r="P28" s="72"/>
    </row>
    <row r="29" spans="1:16" x14ac:dyDescent="0.25">
      <c r="A29" s="69" t="s">
        <v>68</v>
      </c>
      <c r="B29" s="21">
        <v>467</v>
      </c>
      <c r="C29" s="21"/>
      <c r="D29" s="21" t="s">
        <v>70</v>
      </c>
      <c r="E29" s="21" t="s">
        <v>33</v>
      </c>
      <c r="F29" s="31">
        <v>661061.99607770273</v>
      </c>
      <c r="G29" s="31">
        <v>91762.605700127024</v>
      </c>
      <c r="H29" s="70">
        <v>32721</v>
      </c>
      <c r="I29" s="70">
        <v>2073.3000000000002</v>
      </c>
      <c r="J29" s="31">
        <f t="shared" si="0"/>
        <v>569299.39037757576</v>
      </c>
      <c r="K29" s="25">
        <f t="shared" si="1"/>
        <v>17.398593880919769</v>
      </c>
      <c r="L29" s="71">
        <f t="shared" si="3"/>
        <v>0.85772903383099974</v>
      </c>
      <c r="M29" s="71">
        <f t="shared" si="4"/>
        <v>0.13881089254046461</v>
      </c>
      <c r="N29" s="71">
        <f t="shared" si="5"/>
        <v>0.95897135363775199</v>
      </c>
      <c r="O29" s="27">
        <f t="shared" si="2"/>
        <v>15.782086528722326</v>
      </c>
      <c r="P29" s="72"/>
    </row>
    <row r="30" spans="1:16" x14ac:dyDescent="0.25">
      <c r="A30" s="69" t="s">
        <v>68</v>
      </c>
      <c r="B30" s="21">
        <v>852</v>
      </c>
      <c r="C30" s="21"/>
      <c r="D30" s="21" t="s">
        <v>70</v>
      </c>
      <c r="E30" s="21" t="s">
        <v>33</v>
      </c>
      <c r="F30" s="31">
        <v>819379.08338850434</v>
      </c>
      <c r="G30" s="31">
        <v>92287.63334407669</v>
      </c>
      <c r="H30" s="70">
        <v>60045</v>
      </c>
      <c r="I30" s="70">
        <v>7875.8899999999994</v>
      </c>
      <c r="J30" s="31">
        <f t="shared" si="0"/>
        <v>727091.45004442765</v>
      </c>
      <c r="K30" s="25">
        <f t="shared" si="1"/>
        <v>12.109109002322052</v>
      </c>
      <c r="L30" s="71">
        <f t="shared" si="3"/>
        <v>0.59696400963219021</v>
      </c>
      <c r="M30" s="255">
        <f t="shared" si="4"/>
        <v>0.11263118038408479</v>
      </c>
      <c r="N30" s="71">
        <f t="shared" si="5"/>
        <v>0.77810950954917113</v>
      </c>
      <c r="O30" s="27">
        <f t="shared" si="2"/>
        <v>7.6239002830156339</v>
      </c>
      <c r="P30" s="72"/>
    </row>
    <row r="31" spans="1:16" x14ac:dyDescent="0.25">
      <c r="A31" s="69" t="s">
        <v>68</v>
      </c>
      <c r="B31" s="21">
        <v>852</v>
      </c>
      <c r="C31" s="21"/>
      <c r="D31" s="21" t="s">
        <v>70</v>
      </c>
      <c r="E31" s="21" t="s">
        <v>65</v>
      </c>
      <c r="F31" s="31">
        <v>49296.388456550732</v>
      </c>
      <c r="G31" s="31">
        <v>3851.6074264080789</v>
      </c>
      <c r="H31" s="70">
        <v>3637</v>
      </c>
      <c r="I31" s="70">
        <v>499.26</v>
      </c>
      <c r="J31" s="31">
        <f t="shared" si="0"/>
        <v>45444.781030142651</v>
      </c>
      <c r="K31" s="25">
        <f t="shared" si="1"/>
        <v>12.495128135865453</v>
      </c>
      <c r="L31" s="71">
        <f t="shared" si="3"/>
        <v>1</v>
      </c>
      <c r="M31" s="71">
        <f t="shared" si="4"/>
        <v>7.8131634933111607E-2</v>
      </c>
      <c r="N31" s="71">
        <f t="shared" si="5"/>
        <v>1</v>
      </c>
      <c r="O31" s="27">
        <f t="shared" si="2"/>
        <v>7.284781476585346</v>
      </c>
      <c r="P31" s="72"/>
    </row>
    <row r="32" spans="1:16" x14ac:dyDescent="0.25">
      <c r="A32" s="69" t="s">
        <v>34</v>
      </c>
      <c r="B32" s="22">
        <v>600</v>
      </c>
      <c r="C32" s="22"/>
      <c r="D32" s="21" t="s">
        <v>70</v>
      </c>
      <c r="E32" s="22" t="s">
        <v>33</v>
      </c>
      <c r="F32" s="31">
        <v>196463.55612423184</v>
      </c>
      <c r="G32" s="31">
        <v>12714.96</v>
      </c>
      <c r="H32" s="70">
        <v>4942</v>
      </c>
      <c r="I32" s="70">
        <v>596.82874288831738</v>
      </c>
      <c r="J32" s="31">
        <f t="shared" si="0"/>
        <v>183748.59612423184</v>
      </c>
      <c r="K32" s="252">
        <f t="shared" si="1"/>
        <v>37.18101904577739</v>
      </c>
      <c r="L32" s="71">
        <f t="shared" si="3"/>
        <v>1.8329779843852947</v>
      </c>
      <c r="M32" s="256">
        <f t="shared" si="4"/>
        <v>6.4719178716076062E-2</v>
      </c>
      <c r="N32" s="71">
        <f t="shared" si="5"/>
        <v>0.4471107222481614</v>
      </c>
      <c r="O32" s="27">
        <f t="shared" si="2"/>
        <v>8.2804322996970345</v>
      </c>
      <c r="P32" s="72"/>
    </row>
    <row r="33" spans="1:16" x14ac:dyDescent="0.25">
      <c r="A33" s="69" t="s">
        <v>34</v>
      </c>
      <c r="B33" s="21">
        <v>695</v>
      </c>
      <c r="C33" s="21"/>
      <c r="D33" s="21" t="s">
        <v>70</v>
      </c>
      <c r="E33" s="21" t="s">
        <v>33</v>
      </c>
      <c r="F33" s="31">
        <v>845625.82433189836</v>
      </c>
      <c r="G33" s="31">
        <v>98354.66</v>
      </c>
      <c r="H33" s="70">
        <v>34515</v>
      </c>
      <c r="I33" s="70">
        <v>2568.8927129607982</v>
      </c>
      <c r="J33" s="31">
        <f t="shared" si="0"/>
        <v>747271.16433189833</v>
      </c>
      <c r="K33" s="25">
        <f t="shared" si="1"/>
        <v>21.650620435517844</v>
      </c>
      <c r="L33" s="71">
        <f t="shared" si="3"/>
        <v>1.0673486532933951</v>
      </c>
      <c r="M33" s="71">
        <f t="shared" si="4"/>
        <v>0.11630990583536974</v>
      </c>
      <c r="N33" s="71">
        <f t="shared" si="5"/>
        <v>0.80352388633989735</v>
      </c>
      <c r="O33" s="27">
        <f t="shared" si="2"/>
        <v>13.435749895611426</v>
      </c>
      <c r="P33" s="72"/>
    </row>
    <row r="34" spans="1:16" x14ac:dyDescent="0.25">
      <c r="A34" s="69" t="s">
        <v>34</v>
      </c>
      <c r="B34" s="22">
        <v>698</v>
      </c>
      <c r="C34" s="22"/>
      <c r="D34" s="21" t="s">
        <v>70</v>
      </c>
      <c r="E34" s="22" t="s">
        <v>33</v>
      </c>
      <c r="F34" s="31">
        <v>3522966.5569397756</v>
      </c>
      <c r="G34" s="31">
        <v>432889.94</v>
      </c>
      <c r="H34" s="70">
        <v>157600</v>
      </c>
      <c r="I34" s="70">
        <v>10702.278544150886</v>
      </c>
      <c r="J34" s="31">
        <f t="shared" si="0"/>
        <v>3090076.6169397756</v>
      </c>
      <c r="K34" s="25">
        <f t="shared" si="1"/>
        <v>19.607085132866597</v>
      </c>
      <c r="L34" s="71">
        <f t="shared" si="3"/>
        <v>0.9666049051066633</v>
      </c>
      <c r="M34" s="71">
        <f t="shared" si="4"/>
        <v>0.12287653970125387</v>
      </c>
      <c r="N34" s="71">
        <f t="shared" si="5"/>
        <v>0.84888930148824182</v>
      </c>
      <c r="O34" s="27">
        <f t="shared" si="2"/>
        <v>14.725836124507627</v>
      </c>
      <c r="P34" s="72"/>
    </row>
    <row r="35" spans="1:16" x14ac:dyDescent="0.25">
      <c r="A35" s="69" t="s">
        <v>10</v>
      </c>
      <c r="B35" s="22">
        <v>781</v>
      </c>
      <c r="C35" s="22"/>
      <c r="D35" s="21" t="s">
        <v>70</v>
      </c>
      <c r="E35" s="22" t="s">
        <v>33</v>
      </c>
      <c r="F35" s="31">
        <v>1340045.3628075155</v>
      </c>
      <c r="G35" s="31">
        <v>313003.250201285</v>
      </c>
      <c r="H35" s="70">
        <v>106555</v>
      </c>
      <c r="I35" s="70">
        <v>4347.0999999999995</v>
      </c>
      <c r="J35" s="31">
        <f t="shared" si="0"/>
        <v>1027042.1126062305</v>
      </c>
      <c r="K35" s="25">
        <f t="shared" si="1"/>
        <v>9.6386102257635073</v>
      </c>
      <c r="L35" s="71">
        <f t="shared" si="3"/>
        <v>0.4751714933402813</v>
      </c>
      <c r="M35" s="71">
        <f t="shared" si="4"/>
        <v>0.23357660784371884</v>
      </c>
      <c r="N35" s="71">
        <f t="shared" si="5"/>
        <v>1.6136577735548339</v>
      </c>
      <c r="O35" s="27">
        <f t="shared" si="2"/>
        <v>24.511743461158016</v>
      </c>
      <c r="P35" s="72"/>
    </row>
    <row r="36" spans="1:16" x14ac:dyDescent="0.25">
      <c r="A36" s="69" t="s">
        <v>10</v>
      </c>
      <c r="B36" s="21">
        <v>784</v>
      </c>
      <c r="C36" s="21"/>
      <c r="D36" s="21" t="s">
        <v>70</v>
      </c>
      <c r="E36" s="21" t="s">
        <v>33</v>
      </c>
      <c r="F36" s="31">
        <v>400226.24846668809</v>
      </c>
      <c r="G36" s="31">
        <v>55168.824006666298</v>
      </c>
      <c r="H36" s="70">
        <v>18781</v>
      </c>
      <c r="I36" s="70">
        <v>1536.5</v>
      </c>
      <c r="J36" s="31">
        <f t="shared" ref="J36:J55" si="6">+F36-G36</f>
        <v>345057.42446002178</v>
      </c>
      <c r="K36" s="25">
        <f t="shared" ref="K36:K55" si="7">+J36/H36</f>
        <v>18.372686462915809</v>
      </c>
      <c r="L36" s="71">
        <f t="shared" si="3"/>
        <v>0.90575058631597782</v>
      </c>
      <c r="M36" s="71">
        <f t="shared" si="4"/>
        <v>0.13784409248025156</v>
      </c>
      <c r="N36" s="71">
        <f t="shared" si="5"/>
        <v>0.95229224117423039</v>
      </c>
      <c r="O36" s="27">
        <f t="shared" ref="O36:O55" si="8">+H36/I36</f>
        <v>12.223234624145785</v>
      </c>
      <c r="P36" s="72"/>
    </row>
    <row r="37" spans="1:16" x14ac:dyDescent="0.25">
      <c r="A37" s="69" t="s">
        <v>10</v>
      </c>
      <c r="B37" s="21">
        <v>785</v>
      </c>
      <c r="C37" s="21"/>
      <c r="D37" s="21" t="s">
        <v>70</v>
      </c>
      <c r="E37" s="21" t="s">
        <v>33</v>
      </c>
      <c r="F37" s="31">
        <v>524567.6968266248</v>
      </c>
      <c r="G37" s="31">
        <v>97013.235804491895</v>
      </c>
      <c r="H37" s="70">
        <v>33026</v>
      </c>
      <c r="I37" s="70">
        <v>1816.8000000000002</v>
      </c>
      <c r="J37" s="31">
        <f t="shared" si="6"/>
        <v>427554.46102213289</v>
      </c>
      <c r="K37" s="25">
        <f t="shared" si="7"/>
        <v>12.945995912981678</v>
      </c>
      <c r="L37" s="71">
        <f t="shared" si="3"/>
        <v>0.63822149320924493</v>
      </c>
      <c r="M37" s="71">
        <f t="shared" si="4"/>
        <v>0.18493940132298273</v>
      </c>
      <c r="N37" s="71">
        <f t="shared" si="5"/>
        <v>1.277648927845894</v>
      </c>
      <c r="O37" s="27">
        <f t="shared" si="8"/>
        <v>18.178115367679435</v>
      </c>
      <c r="P37" s="72"/>
    </row>
    <row r="38" spans="1:16" x14ac:dyDescent="0.25">
      <c r="A38" s="69" t="s">
        <v>10</v>
      </c>
      <c r="B38" s="21">
        <v>789</v>
      </c>
      <c r="C38" s="21"/>
      <c r="D38" s="21" t="s">
        <v>70</v>
      </c>
      <c r="E38" s="21" t="s">
        <v>33</v>
      </c>
      <c r="F38" s="31">
        <v>216192.69189917177</v>
      </c>
      <c r="G38" s="31">
        <v>56537.6899875569</v>
      </c>
      <c r="H38" s="70">
        <v>19247</v>
      </c>
      <c r="I38" s="70">
        <v>603.1</v>
      </c>
      <c r="J38" s="31">
        <f t="shared" si="6"/>
        <v>159655.00191161488</v>
      </c>
      <c r="K38" s="25">
        <f t="shared" si="7"/>
        <v>8.2950590695492732</v>
      </c>
      <c r="L38" s="71">
        <f t="shared" si="3"/>
        <v>0.40893609276656345</v>
      </c>
      <c r="M38" s="71">
        <f t="shared" si="4"/>
        <v>0.26151526904491768</v>
      </c>
      <c r="N38" s="71">
        <f t="shared" si="5"/>
        <v>1.8066712702667722</v>
      </c>
      <c r="O38" s="27">
        <f t="shared" si="8"/>
        <v>31.913447189520809</v>
      </c>
      <c r="P38" s="72"/>
    </row>
    <row r="39" spans="1:16" x14ac:dyDescent="0.25">
      <c r="A39" s="69" t="s">
        <v>69</v>
      </c>
      <c r="B39" s="21">
        <v>747</v>
      </c>
      <c r="C39" s="21"/>
      <c r="D39" s="21" t="s">
        <v>70</v>
      </c>
      <c r="E39" s="21" t="s">
        <v>33</v>
      </c>
      <c r="F39" s="31">
        <v>766116</v>
      </c>
      <c r="G39" s="31">
        <v>59604</v>
      </c>
      <c r="H39" s="70">
        <v>25962</v>
      </c>
      <c r="I39" s="70">
        <v>3979.18</v>
      </c>
      <c r="J39" s="31">
        <f t="shared" si="6"/>
        <v>706512</v>
      </c>
      <c r="K39" s="251">
        <f t="shared" si="7"/>
        <v>27.213311763346429</v>
      </c>
      <c r="L39" s="71">
        <f t="shared" si="3"/>
        <v>1.3415824155602951</v>
      </c>
      <c r="M39" s="256">
        <f t="shared" si="4"/>
        <v>7.7800228685995329E-2</v>
      </c>
      <c r="N39" s="71">
        <f t="shared" si="5"/>
        <v>0.53748080752803062</v>
      </c>
      <c r="O39" s="27">
        <f t="shared" si="8"/>
        <v>6.5244598133283747</v>
      </c>
      <c r="P39" s="72"/>
    </row>
    <row r="40" spans="1:16" ht="15.75" x14ac:dyDescent="0.25">
      <c r="A40" s="69" t="s">
        <v>69</v>
      </c>
      <c r="B40" s="37">
        <v>774</v>
      </c>
      <c r="C40" s="37"/>
      <c r="D40" s="21" t="s">
        <v>70</v>
      </c>
      <c r="E40" s="37" t="s">
        <v>33</v>
      </c>
      <c r="F40" s="31">
        <v>780086</v>
      </c>
      <c r="G40" s="31">
        <v>112690</v>
      </c>
      <c r="H40" s="70">
        <v>49137</v>
      </c>
      <c r="I40" s="70">
        <v>4331.72</v>
      </c>
      <c r="J40" s="31">
        <f t="shared" si="6"/>
        <v>667396</v>
      </c>
      <c r="K40" s="25">
        <f t="shared" si="7"/>
        <v>13.582351384903433</v>
      </c>
      <c r="L40" s="71">
        <f t="shared" si="3"/>
        <v>0.66959302632509587</v>
      </c>
      <c r="M40" s="71">
        <f t="shared" si="4"/>
        <v>0.14445843150626983</v>
      </c>
      <c r="N40" s="71">
        <f t="shared" si="5"/>
        <v>0.99798722615064872</v>
      </c>
      <c r="O40" s="27">
        <f t="shared" si="8"/>
        <v>11.343530976148042</v>
      </c>
      <c r="P40" s="72"/>
    </row>
    <row r="41" spans="1:16" x14ac:dyDescent="0.25">
      <c r="A41" s="69" t="s">
        <v>69</v>
      </c>
      <c r="B41" s="22">
        <v>776</v>
      </c>
      <c r="C41" s="22"/>
      <c r="D41" s="21" t="s">
        <v>70</v>
      </c>
      <c r="E41" s="22" t="s">
        <v>33</v>
      </c>
      <c r="F41" s="31">
        <v>495765</v>
      </c>
      <c r="G41" s="31">
        <v>42781</v>
      </c>
      <c r="H41" s="70">
        <v>18579</v>
      </c>
      <c r="I41" s="70">
        <v>2591</v>
      </c>
      <c r="J41" s="31">
        <f t="shared" si="6"/>
        <v>452984</v>
      </c>
      <c r="K41" s="251">
        <f t="shared" si="7"/>
        <v>24.38150600139943</v>
      </c>
      <c r="L41" s="71">
        <f t="shared" si="3"/>
        <v>1.2019779143680727</v>
      </c>
      <c r="M41" s="256">
        <f t="shared" si="4"/>
        <v>8.6292900870372058E-2</v>
      </c>
      <c r="N41" s="71">
        <f t="shared" si="5"/>
        <v>0.59615220709618288</v>
      </c>
      <c r="O41" s="27">
        <f t="shared" si="8"/>
        <v>7.1705905055962953</v>
      </c>
      <c r="P41" s="72"/>
    </row>
    <row r="42" spans="1:16" x14ac:dyDescent="0.25">
      <c r="A42" s="69" t="s">
        <v>69</v>
      </c>
      <c r="B42" s="22">
        <v>777</v>
      </c>
      <c r="C42" s="22"/>
      <c r="D42" s="21" t="s">
        <v>70</v>
      </c>
      <c r="E42" s="22" t="s">
        <v>33</v>
      </c>
      <c r="F42" s="31">
        <v>507508</v>
      </c>
      <c r="G42" s="31">
        <v>43959</v>
      </c>
      <c r="H42" s="70">
        <v>19166</v>
      </c>
      <c r="I42" s="70">
        <v>2587.52</v>
      </c>
      <c r="J42" s="31">
        <f t="shared" si="6"/>
        <v>463549</v>
      </c>
      <c r="K42" s="25">
        <f t="shared" si="7"/>
        <v>24.186006469790254</v>
      </c>
      <c r="L42" s="71">
        <f t="shared" si="3"/>
        <v>1.192340030668434</v>
      </c>
      <c r="M42" s="256">
        <f t="shared" si="4"/>
        <v>8.6617353815112277E-2</v>
      </c>
      <c r="N42" s="71">
        <f t="shared" si="5"/>
        <v>0.59839368162253226</v>
      </c>
      <c r="O42" s="27">
        <f t="shared" si="8"/>
        <v>7.4070925055651742</v>
      </c>
      <c r="P42" s="72"/>
    </row>
    <row r="43" spans="1:16" x14ac:dyDescent="0.25">
      <c r="A43" s="69" t="s">
        <v>69</v>
      </c>
      <c r="B43" s="22">
        <v>790</v>
      </c>
      <c r="C43" s="22"/>
      <c r="D43" s="21" t="s">
        <v>70</v>
      </c>
      <c r="E43" s="22" t="s">
        <v>33</v>
      </c>
      <c r="F43" s="31">
        <v>385432</v>
      </c>
      <c r="G43" s="31">
        <v>41171</v>
      </c>
      <c r="H43" s="70">
        <v>17980</v>
      </c>
      <c r="I43" s="70">
        <v>2050.0500000000002</v>
      </c>
      <c r="J43" s="31">
        <f t="shared" si="6"/>
        <v>344261</v>
      </c>
      <c r="K43" s="25">
        <f t="shared" si="7"/>
        <v>19.146885428253615</v>
      </c>
      <c r="L43" s="71">
        <f t="shared" si="3"/>
        <v>0.94391763217480396</v>
      </c>
      <c r="M43" s="255">
        <f t="shared" si="4"/>
        <v>0.10681780443761806</v>
      </c>
      <c r="N43" s="71">
        <f t="shared" si="5"/>
        <v>0.73794795667274082</v>
      </c>
      <c r="O43" s="27">
        <f t="shared" si="8"/>
        <v>8.7705177922489685</v>
      </c>
      <c r="P43" s="72"/>
    </row>
    <row r="44" spans="1:16" x14ac:dyDescent="0.25">
      <c r="A44" s="69" t="s">
        <v>69</v>
      </c>
      <c r="B44" s="22">
        <v>795</v>
      </c>
      <c r="C44" s="22"/>
      <c r="D44" s="21" t="s">
        <v>70</v>
      </c>
      <c r="E44" s="22" t="s">
        <v>33</v>
      </c>
      <c r="F44" s="31">
        <v>91275</v>
      </c>
      <c r="G44" s="31">
        <v>11195</v>
      </c>
      <c r="H44" s="70">
        <v>4918</v>
      </c>
      <c r="I44" s="70">
        <v>497.95</v>
      </c>
      <c r="J44" s="31">
        <f t="shared" si="6"/>
        <v>80080</v>
      </c>
      <c r="K44" s="25">
        <f t="shared" si="7"/>
        <v>16.283041886945913</v>
      </c>
      <c r="L44" s="71">
        <f t="shared" si="3"/>
        <v>0.80273370831628876</v>
      </c>
      <c r="M44" s="71">
        <f t="shared" si="4"/>
        <v>0.12265132840317722</v>
      </c>
      <c r="N44" s="71">
        <f t="shared" si="5"/>
        <v>0.84733343523438764</v>
      </c>
      <c r="O44" s="27">
        <f t="shared" si="8"/>
        <v>9.8764936238578169</v>
      </c>
      <c r="P44" s="72"/>
    </row>
    <row r="45" spans="1:16" x14ac:dyDescent="0.25">
      <c r="A45" s="69" t="s">
        <v>9</v>
      </c>
      <c r="B45" s="22">
        <v>460</v>
      </c>
      <c r="C45" s="22"/>
      <c r="D45" s="21" t="s">
        <v>70</v>
      </c>
      <c r="E45" s="22" t="s">
        <v>33</v>
      </c>
      <c r="F45" s="31">
        <v>1726693.0458</v>
      </c>
      <c r="G45" s="31">
        <v>215539.24010858528</v>
      </c>
      <c r="H45" s="70">
        <v>91724</v>
      </c>
      <c r="I45" s="70">
        <v>5377.3</v>
      </c>
      <c r="J45" s="31">
        <f t="shared" si="6"/>
        <v>1511153.8056914147</v>
      </c>
      <c r="K45" s="25">
        <f t="shared" si="7"/>
        <v>16.475009874094184</v>
      </c>
      <c r="L45" s="71">
        <f t="shared" ref="L45:L55" si="9">K45/$G$59</f>
        <v>0.81219749126737772</v>
      </c>
      <c r="M45" s="71">
        <f t="shared" si="4"/>
        <v>0.12482776868353174</v>
      </c>
      <c r="N45" s="71">
        <f t="shared" si="5"/>
        <v>0.86236931493781133</v>
      </c>
      <c r="O45" s="27">
        <f t="shared" si="8"/>
        <v>17.057631153180964</v>
      </c>
      <c r="P45" s="72"/>
    </row>
    <row r="46" spans="1:16" x14ac:dyDescent="0.25">
      <c r="A46" s="69" t="s">
        <v>9</v>
      </c>
      <c r="B46" s="22">
        <v>465</v>
      </c>
      <c r="C46" s="22"/>
      <c r="D46" s="21" t="s">
        <v>70</v>
      </c>
      <c r="E46" s="22" t="s">
        <v>33</v>
      </c>
      <c r="F46" s="31">
        <v>2301695.5028999997</v>
      </c>
      <c r="G46" s="31">
        <v>279157.20102895214</v>
      </c>
      <c r="H46" s="70">
        <v>118797</v>
      </c>
      <c r="I46" s="70">
        <v>9209.0600000000013</v>
      </c>
      <c r="J46" s="31">
        <f t="shared" si="6"/>
        <v>2022538.3018710476</v>
      </c>
      <c r="K46" s="25">
        <f t="shared" si="7"/>
        <v>17.025163109094066</v>
      </c>
      <c r="L46" s="71">
        <f t="shared" si="9"/>
        <v>0.83931936134177143</v>
      </c>
      <c r="M46" s="71">
        <f t="shared" si="4"/>
        <v>0.12128328906983163</v>
      </c>
      <c r="N46" s="71">
        <f t="shared" si="5"/>
        <v>0.83788237194016046</v>
      </c>
      <c r="O46" s="27">
        <f t="shared" si="8"/>
        <v>12.900013682178201</v>
      </c>
      <c r="P46" s="72"/>
    </row>
    <row r="47" spans="1:16" x14ac:dyDescent="0.25">
      <c r="A47" s="69" t="s">
        <v>9</v>
      </c>
      <c r="B47" s="22">
        <v>470</v>
      </c>
      <c r="C47" s="22"/>
      <c r="D47" s="21" t="s">
        <v>70</v>
      </c>
      <c r="E47" s="22" t="s">
        <v>33</v>
      </c>
      <c r="F47" s="31">
        <v>670389.25139999983</v>
      </c>
      <c r="G47" s="31">
        <v>64026.83785310958</v>
      </c>
      <c r="H47" s="70">
        <v>27247</v>
      </c>
      <c r="I47" s="70">
        <v>2251.7000000000003</v>
      </c>
      <c r="J47" s="31">
        <f t="shared" si="6"/>
        <v>606362.41354689025</v>
      </c>
      <c r="K47" s="25">
        <f t="shared" si="7"/>
        <v>22.254281702458627</v>
      </c>
      <c r="L47" s="71">
        <f t="shared" si="9"/>
        <v>1.0971084027764919</v>
      </c>
      <c r="M47" s="255">
        <f t="shared" si="4"/>
        <v>9.5506957665863312E-2</v>
      </c>
      <c r="N47" s="71">
        <f t="shared" si="5"/>
        <v>0.65980727303484177</v>
      </c>
      <c r="O47" s="27">
        <f t="shared" si="8"/>
        <v>12.100635075720565</v>
      </c>
      <c r="P47" s="72"/>
    </row>
    <row r="48" spans="1:16" ht="15.75" x14ac:dyDescent="0.25">
      <c r="A48" s="69" t="s">
        <v>9</v>
      </c>
      <c r="B48" s="37">
        <v>472</v>
      </c>
      <c r="C48" s="37"/>
      <c r="D48" s="21" t="s">
        <v>70</v>
      </c>
      <c r="E48" s="37" t="s">
        <v>33</v>
      </c>
      <c r="F48" s="31">
        <v>435460.78319999995</v>
      </c>
      <c r="G48" s="31">
        <v>35299.708526788716</v>
      </c>
      <c r="H48" s="70">
        <v>15022</v>
      </c>
      <c r="I48" s="70">
        <v>1649.56</v>
      </c>
      <c r="J48" s="31">
        <f t="shared" si="6"/>
        <v>400161.0746732112</v>
      </c>
      <c r="K48" s="251">
        <f t="shared" si="7"/>
        <v>26.638335419598668</v>
      </c>
      <c r="L48" s="71">
        <f t="shared" si="9"/>
        <v>1.3132367971055021</v>
      </c>
      <c r="M48" s="256">
        <f t="shared" si="4"/>
        <v>8.1062887609275575E-2</v>
      </c>
      <c r="N48" s="71">
        <f t="shared" si="5"/>
        <v>0.56002079979271746</v>
      </c>
      <c r="O48" s="27">
        <f t="shared" si="8"/>
        <v>9.1066708698077061</v>
      </c>
      <c r="P48" s="72"/>
    </row>
    <row r="49" spans="1:16" ht="15.75" x14ac:dyDescent="0.25">
      <c r="A49" s="69" t="s">
        <v>9</v>
      </c>
      <c r="B49" s="37">
        <v>475</v>
      </c>
      <c r="C49" s="37"/>
      <c r="D49" s="21" t="s">
        <v>70</v>
      </c>
      <c r="E49" s="37" t="s">
        <v>33</v>
      </c>
      <c r="F49" s="31">
        <v>1216975.8528</v>
      </c>
      <c r="G49" s="31">
        <v>126664.90405535162</v>
      </c>
      <c r="H49" s="70">
        <v>53903</v>
      </c>
      <c r="I49" s="70">
        <v>4912.7699999999995</v>
      </c>
      <c r="J49" s="31">
        <f t="shared" si="6"/>
        <v>1090310.9487446484</v>
      </c>
      <c r="K49" s="25">
        <f t="shared" si="7"/>
        <v>20.227277679250662</v>
      </c>
      <c r="L49" s="71">
        <f t="shared" si="9"/>
        <v>0.99717962610078703</v>
      </c>
      <c r="M49" s="255">
        <f t="shared" si="4"/>
        <v>0.10408169049856075</v>
      </c>
      <c r="N49" s="71">
        <f t="shared" si="5"/>
        <v>0.71904558640608451</v>
      </c>
      <c r="O49" s="27">
        <f t="shared" si="8"/>
        <v>10.972017822938994</v>
      </c>
      <c r="P49" s="72"/>
    </row>
    <row r="50" spans="1:16" ht="15.75" x14ac:dyDescent="0.25">
      <c r="A50" s="69" t="s">
        <v>9</v>
      </c>
      <c r="B50" s="37">
        <v>477</v>
      </c>
      <c r="C50" s="37"/>
      <c r="D50" s="21" t="s">
        <v>70</v>
      </c>
      <c r="E50" s="37" t="s">
        <v>33</v>
      </c>
      <c r="F50" s="31">
        <v>1852027.4912999999</v>
      </c>
      <c r="G50" s="31">
        <v>276414.90573866043</v>
      </c>
      <c r="H50" s="70">
        <v>117630</v>
      </c>
      <c r="I50" s="70">
        <v>6287.05</v>
      </c>
      <c r="J50" s="31">
        <f t="shared" si="6"/>
        <v>1575612.5855613395</v>
      </c>
      <c r="K50" s="25">
        <f t="shared" si="7"/>
        <v>13.39464920140559</v>
      </c>
      <c r="L50" s="71">
        <f t="shared" si="9"/>
        <v>0.66033954218715463</v>
      </c>
      <c r="M50" s="71">
        <f t="shared" si="4"/>
        <v>0.14924989344765913</v>
      </c>
      <c r="N50" s="71">
        <f t="shared" si="5"/>
        <v>1.031088913343521</v>
      </c>
      <c r="O50" s="27">
        <f t="shared" si="8"/>
        <v>18.709887785209279</v>
      </c>
      <c r="P50" s="72"/>
    </row>
    <row r="51" spans="1:16" x14ac:dyDescent="0.25">
      <c r="A51" s="69" t="s">
        <v>9</v>
      </c>
      <c r="B51" s="21">
        <v>479</v>
      </c>
      <c r="C51" s="21"/>
      <c r="D51" s="21" t="s">
        <v>70</v>
      </c>
      <c r="E51" s="21" t="s">
        <v>33</v>
      </c>
      <c r="F51" s="31">
        <v>147776.9982</v>
      </c>
      <c r="G51" s="31">
        <v>3743.3388152825473</v>
      </c>
      <c r="H51" s="70">
        <v>1593</v>
      </c>
      <c r="I51" s="70">
        <v>510.84000000000003</v>
      </c>
      <c r="J51" s="31">
        <f t="shared" si="6"/>
        <v>144033.65938471747</v>
      </c>
      <c r="K51" s="252">
        <f t="shared" si="7"/>
        <v>90.416609783250138</v>
      </c>
      <c r="L51" s="71">
        <f t="shared" si="9"/>
        <v>4.457426380686452</v>
      </c>
      <c r="M51" s="258">
        <f t="shared" si="4"/>
        <v>2.5330997793150106E-2</v>
      </c>
      <c r="N51" s="71">
        <f t="shared" si="5"/>
        <v>0.17499852351724357</v>
      </c>
      <c r="O51" s="27">
        <f t="shared" si="8"/>
        <v>3.1183932346723044</v>
      </c>
      <c r="P51" s="72" t="s">
        <v>97</v>
      </c>
    </row>
    <row r="52" spans="1:16" x14ac:dyDescent="0.25">
      <c r="A52" s="69" t="s">
        <v>9</v>
      </c>
      <c r="B52" s="21">
        <v>480</v>
      </c>
      <c r="C52" s="21"/>
      <c r="D52" s="21" t="s">
        <v>70</v>
      </c>
      <c r="E52" s="21" t="s">
        <v>33</v>
      </c>
      <c r="F52" s="31">
        <v>781898.36819999968</v>
      </c>
      <c r="G52" s="31">
        <v>62454.776542736683</v>
      </c>
      <c r="H52" s="70">
        <v>26578</v>
      </c>
      <c r="I52" s="70">
        <v>3271.29</v>
      </c>
      <c r="J52" s="31">
        <f t="shared" si="6"/>
        <v>719443.59165726299</v>
      </c>
      <c r="K52" s="251">
        <f t="shared" si="7"/>
        <v>27.069139576238356</v>
      </c>
      <c r="L52" s="71">
        <f t="shared" si="9"/>
        <v>1.3344749060914338</v>
      </c>
      <c r="M52" s="256">
        <f t="shared" si="4"/>
        <v>7.9875824125983527E-2</v>
      </c>
      <c r="N52" s="71">
        <f t="shared" si="5"/>
        <v>0.55182000333796755</v>
      </c>
      <c r="O52" s="27">
        <f t="shared" si="8"/>
        <v>8.1246236194284212</v>
      </c>
      <c r="P52" s="72"/>
    </row>
    <row r="53" spans="1:16" x14ac:dyDescent="0.25">
      <c r="A53" s="69" t="s">
        <v>9</v>
      </c>
      <c r="B53" s="21">
        <v>484</v>
      </c>
      <c r="C53" s="21"/>
      <c r="D53" s="21" t="s">
        <v>70</v>
      </c>
      <c r="E53" s="21" t="s">
        <v>33</v>
      </c>
      <c r="F53" s="31">
        <v>181296.04109999997</v>
      </c>
      <c r="G53" s="31">
        <v>9758.9994349456483</v>
      </c>
      <c r="H53" s="70">
        <v>4153</v>
      </c>
      <c r="I53" s="70">
        <v>640.09</v>
      </c>
      <c r="J53" s="31">
        <f t="shared" si="6"/>
        <v>171537.04166505433</v>
      </c>
      <c r="K53" s="252">
        <f t="shared" si="7"/>
        <v>41.304368327727985</v>
      </c>
      <c r="L53" s="71">
        <f t="shared" si="9"/>
        <v>2.0362539743854855</v>
      </c>
      <c r="M53" s="258">
        <f t="shared" si="4"/>
        <v>5.3829081847202288E-2</v>
      </c>
      <c r="N53" s="71">
        <f t="shared" si="5"/>
        <v>0.3718767781068843</v>
      </c>
      <c r="O53" s="27">
        <f t="shared" si="8"/>
        <v>6.4881501038916403</v>
      </c>
      <c r="P53" s="72"/>
    </row>
    <row r="54" spans="1:16" x14ac:dyDescent="0.25">
      <c r="A54" s="69" t="s">
        <v>9</v>
      </c>
      <c r="B54" s="21">
        <v>490</v>
      </c>
      <c r="C54" s="21"/>
      <c r="D54" s="21" t="s">
        <v>70</v>
      </c>
      <c r="E54" s="21" t="s">
        <v>33</v>
      </c>
      <c r="F54" s="31">
        <v>1128260.4125999999</v>
      </c>
      <c r="G54" s="31">
        <v>63648.509196951083</v>
      </c>
      <c r="H54" s="70">
        <v>27086</v>
      </c>
      <c r="I54" s="70">
        <v>4428.5</v>
      </c>
      <c r="J54" s="31">
        <f t="shared" si="6"/>
        <v>1064611.9034030489</v>
      </c>
      <c r="K54" s="252">
        <f t="shared" si="7"/>
        <v>39.304877183897545</v>
      </c>
      <c r="L54" s="71">
        <f t="shared" si="9"/>
        <v>1.9376815484360468</v>
      </c>
      <c r="M54" s="258">
        <f t="shared" si="4"/>
        <v>5.6412959708723086E-2</v>
      </c>
      <c r="N54" s="71">
        <f t="shared" si="5"/>
        <v>0.38972742948696171</v>
      </c>
      <c r="O54" s="27">
        <f t="shared" si="8"/>
        <v>6.1162921982612621</v>
      </c>
      <c r="P54" s="72"/>
    </row>
    <row r="55" spans="1:16" ht="16.5" thickBot="1" x14ac:dyDescent="0.3">
      <c r="A55" s="73" t="s">
        <v>9</v>
      </c>
      <c r="B55" s="74">
        <v>493</v>
      </c>
      <c r="C55" s="74"/>
      <c r="D55" s="75" t="s">
        <v>70</v>
      </c>
      <c r="E55" s="74" t="s">
        <v>33</v>
      </c>
      <c r="F55" s="76">
        <v>442316.79210000002</v>
      </c>
      <c r="G55" s="76">
        <v>35003.625230664671</v>
      </c>
      <c r="H55" s="77">
        <v>14896</v>
      </c>
      <c r="I55" s="77">
        <v>1538.24</v>
      </c>
      <c r="J55" s="76">
        <f t="shared" si="6"/>
        <v>407313.16686933534</v>
      </c>
      <c r="K55" s="253">
        <f t="shared" si="7"/>
        <v>27.343794768349579</v>
      </c>
      <c r="L55" s="79">
        <f t="shared" si="9"/>
        <v>1.3480150653812357</v>
      </c>
      <c r="M55" s="257">
        <f t="shared" si="4"/>
        <v>7.9137002835630466E-2</v>
      </c>
      <c r="N55" s="79">
        <f t="shared" si="5"/>
        <v>0.54671587613339867</v>
      </c>
      <c r="O55" s="80">
        <f t="shared" si="8"/>
        <v>9.6837944664031621</v>
      </c>
      <c r="P55" s="81"/>
    </row>
    <row r="56" spans="1:16" ht="15.75" thickTop="1" x14ac:dyDescent="0.25">
      <c r="F56" s="3"/>
      <c r="G56" s="3"/>
      <c r="H56" s="4"/>
      <c r="I56" s="4"/>
      <c r="J56" s="11"/>
      <c r="K56" s="4"/>
      <c r="L56" s="7"/>
      <c r="M56" s="7"/>
      <c r="N56" s="7"/>
    </row>
    <row r="57" spans="1:16" ht="15.75" thickBot="1" x14ac:dyDescent="0.3">
      <c r="E57" s="267" t="s">
        <v>113</v>
      </c>
      <c r="F57" s="267"/>
      <c r="G57" s="267"/>
      <c r="H57" s="267"/>
      <c r="I57" s="267"/>
      <c r="J57" s="267"/>
      <c r="K57" s="267"/>
    </row>
    <row r="58" spans="1:16" ht="36" x14ac:dyDescent="0.25">
      <c r="E58" s="82" t="s">
        <v>63</v>
      </c>
      <c r="F58" s="82" t="s">
        <v>44</v>
      </c>
      <c r="G58" s="83" t="s">
        <v>45</v>
      </c>
      <c r="H58" s="83" t="s">
        <v>46</v>
      </c>
      <c r="I58" s="83" t="s">
        <v>47</v>
      </c>
      <c r="J58" s="84" t="s">
        <v>48</v>
      </c>
      <c r="K58" s="85" t="s">
        <v>62</v>
      </c>
    </row>
    <row r="59" spans="1:16" x14ac:dyDescent="0.25">
      <c r="E59" s="86">
        <f>COUNTIF(E4:E55, "Weekdays")</f>
        <v>51</v>
      </c>
      <c r="F59" s="87" t="s">
        <v>33</v>
      </c>
      <c r="G59" s="88">
        <f>AVERAGEIF($E$4:$E$55,"Weekdays",$K$4:$K$55)</f>
        <v>20.284487518406486</v>
      </c>
      <c r="H59" s="89">
        <f>G59*1.2</f>
        <v>24.341385022087781</v>
      </c>
      <c r="I59" s="90">
        <f>G59*1.35</f>
        <v>27.384058149848759</v>
      </c>
      <c r="J59" s="91">
        <f>G59*1.6</f>
        <v>32.455180029450382</v>
      </c>
      <c r="K59" s="92">
        <f>+SUMIF($E$4:$E$55,"Weekdays",$J$4:$J$55)/SUMIF($E$4:$E$55,"Weekdays",$H$4:$H$55)</f>
        <v>16.065454624627101</v>
      </c>
    </row>
    <row r="60" spans="1:16" x14ac:dyDescent="0.25">
      <c r="E60" s="86">
        <f>COUNTIF(E4:E55, "Saturdays")</f>
        <v>1</v>
      </c>
      <c r="F60" s="93" t="s">
        <v>65</v>
      </c>
      <c r="G60" s="94">
        <f>AVERAGEIF($E$4:$E$55,"Saturdays",$K$4:$K$55)</f>
        <v>12.495128135865453</v>
      </c>
      <c r="H60" s="95">
        <f>G60*1.2</f>
        <v>14.994153763038543</v>
      </c>
      <c r="I60" s="96">
        <f>G60*1.35</f>
        <v>16.868422983418363</v>
      </c>
      <c r="J60" s="97">
        <f>G60*1.6</f>
        <v>19.992205017384727</v>
      </c>
      <c r="K60" s="92">
        <f>+SUMIF($E$4:$E$55,"Saturdays",$J$4:$J$55)/SUMIF($E$4:$E$55,"Saturdays",$H$4:$H$55)</f>
        <v>12.495128135865453</v>
      </c>
      <c r="O60" s="6"/>
      <c r="P60"/>
    </row>
    <row r="61" spans="1:16" ht="15.75" thickBot="1" x14ac:dyDescent="0.3">
      <c r="E61" s="98">
        <f>COUNTIF(E4:E55, "Sundays")</f>
        <v>0</v>
      </c>
      <c r="F61" s="99" t="s">
        <v>66</v>
      </c>
      <c r="G61" s="100"/>
      <c r="H61" s="101"/>
      <c r="I61" s="102"/>
      <c r="J61" s="103"/>
      <c r="K61" s="92"/>
      <c r="O61" s="6"/>
      <c r="P61"/>
    </row>
    <row r="62" spans="1:16" ht="15.75" thickBot="1" x14ac:dyDescent="0.3">
      <c r="E62" s="21"/>
      <c r="F62" s="104" t="s">
        <v>102</v>
      </c>
      <c r="G62" s="105">
        <v>20</v>
      </c>
      <c r="H62" s="106"/>
      <c r="I62" s="106"/>
      <c r="J62" s="107"/>
      <c r="K62" s="108">
        <f>+SUM($J$4:$J$55)/SUM($H$4:$H$55)</f>
        <v>16.05876121483772</v>
      </c>
      <c r="O62" s="6"/>
      <c r="P62"/>
    </row>
    <row r="63" spans="1:16" ht="15.75" thickBot="1" x14ac:dyDescent="0.3">
      <c r="E63" s="267" t="s">
        <v>112</v>
      </c>
      <c r="F63" s="267"/>
      <c r="G63" s="267"/>
      <c r="H63" s="267"/>
      <c r="I63" s="267"/>
      <c r="J63" s="267"/>
      <c r="K63" s="267"/>
      <c r="O63" s="6"/>
      <c r="P63"/>
    </row>
    <row r="64" spans="1:16" ht="36" x14ac:dyDescent="0.25">
      <c r="E64" s="82" t="s">
        <v>63</v>
      </c>
      <c r="F64" s="82" t="s">
        <v>44</v>
      </c>
      <c r="G64" s="83" t="s">
        <v>45</v>
      </c>
      <c r="H64" s="83" t="s">
        <v>46</v>
      </c>
      <c r="I64" s="83" t="s">
        <v>47</v>
      </c>
      <c r="J64" s="84" t="s">
        <v>48</v>
      </c>
      <c r="K64" s="85" t="s">
        <v>62</v>
      </c>
      <c r="O64" s="6"/>
      <c r="P64"/>
    </row>
    <row r="65" spans="5:16" x14ac:dyDescent="0.25">
      <c r="E65" s="86">
        <f>COUNTIF(E4:E55, "Weekdays")</f>
        <v>51</v>
      </c>
      <c r="F65" s="87" t="s">
        <v>33</v>
      </c>
      <c r="G65" s="229">
        <f>AVERAGEIF($E$4:$E$55,"Weekdays",$M$4:$M$55)</f>
        <v>0.1447497800783108</v>
      </c>
      <c r="H65" s="230">
        <f>G65*0.8</f>
        <v>0.11579982406264865</v>
      </c>
      <c r="I65" s="231">
        <f>G65*0.65</f>
        <v>9.4087357050902015E-2</v>
      </c>
      <c r="J65" s="232">
        <f>G65*0.4</f>
        <v>5.7899912031324323E-2</v>
      </c>
      <c r="K65" s="237">
        <f>+SUMIF($E$4:$E$55,"Weekdays",$G$4:$G$55)/SUMIF($E$4:$E$55,"Weekdays",$F$4:$F$55)</f>
        <v>0.14356210942064251</v>
      </c>
      <c r="O65" s="6"/>
      <c r="P65"/>
    </row>
    <row r="66" spans="5:16" x14ac:dyDescent="0.25">
      <c r="E66" s="86">
        <f>COUNTIF(E4:E55, "Saturdays")</f>
        <v>1</v>
      </c>
      <c r="F66" s="93" t="s">
        <v>65</v>
      </c>
      <c r="G66" s="233">
        <f>AVERAGEIF($E$4:$E$55,"Saturdays",$M$4:$M$55)</f>
        <v>7.8131634933111607E-2</v>
      </c>
      <c r="H66" s="234">
        <f>G66*0.8</f>
        <v>6.2505307946489286E-2</v>
      </c>
      <c r="I66" s="235">
        <f>G66*0.65</f>
        <v>5.0785562706522548E-2</v>
      </c>
      <c r="J66" s="236">
        <f>G66*0.4</f>
        <v>3.1252653973244643E-2</v>
      </c>
      <c r="K66" s="228">
        <f>+SUMIF($E$4:$E$55,"Saturdays",$G$4:$G$55)/SUMIF($E$4:$E$55,"Saturdays",$F$4:$F$55)</f>
        <v>7.8131634933111607E-2</v>
      </c>
      <c r="O66" s="6"/>
      <c r="P66"/>
    </row>
    <row r="67" spans="5:16" ht="15.75" thickBot="1" x14ac:dyDescent="0.3">
      <c r="E67" s="98">
        <f>COUNTIF(E4:E55, "Sundays")</f>
        <v>0</v>
      </c>
      <c r="F67" s="99" t="s">
        <v>66</v>
      </c>
      <c r="G67" s="100"/>
      <c r="H67" s="101"/>
      <c r="I67" s="102"/>
      <c r="J67" s="103"/>
      <c r="K67" s="92"/>
      <c r="O67" s="6"/>
      <c r="P67"/>
    </row>
    <row r="68" spans="5:16" ht="15.75" thickBot="1" x14ac:dyDescent="0.3">
      <c r="E68" s="56"/>
      <c r="F68" s="145" t="s">
        <v>115</v>
      </c>
      <c r="G68" s="239">
        <f>AVERAGE(M4:M55)</f>
        <v>0.14346866190244159</v>
      </c>
      <c r="H68" s="240">
        <f>G68*0.8</f>
        <v>0.11477492952195328</v>
      </c>
      <c r="I68" s="241">
        <f>G68*0.65</f>
        <v>9.3254630236587033E-2</v>
      </c>
      <c r="J68" s="242">
        <f>G68*0.4</f>
        <v>5.7387464760976642E-2</v>
      </c>
      <c r="K68" s="238">
        <f>+SUM($G$4:$G$55)/SUM($F$4:$F$55)</f>
        <v>0.14347343055005166</v>
      </c>
      <c r="O68" s="6"/>
      <c r="P68"/>
    </row>
    <row r="69" spans="5:16" x14ac:dyDescent="0.25">
      <c r="O69" s="6"/>
      <c r="P69"/>
    </row>
    <row r="70" spans="5:16" x14ac:dyDescent="0.25">
      <c r="O70" s="6"/>
      <c r="P70"/>
    </row>
    <row r="71" spans="5:16" x14ac:dyDescent="0.25">
      <c r="O71" s="6"/>
      <c r="P71"/>
    </row>
    <row r="72" spans="5:16" x14ac:dyDescent="0.25">
      <c r="O72" s="6"/>
      <c r="P72"/>
    </row>
    <row r="73" spans="5:16" x14ac:dyDescent="0.25">
      <c r="O73" s="6"/>
      <c r="P73"/>
    </row>
    <row r="74" spans="5:16" x14ac:dyDescent="0.25">
      <c r="O74" s="6"/>
      <c r="P74"/>
    </row>
    <row r="75" spans="5:16" x14ac:dyDescent="0.25">
      <c r="O75" s="6"/>
      <c r="P75"/>
    </row>
    <row r="76" spans="5:16" x14ac:dyDescent="0.25">
      <c r="O76" s="6"/>
      <c r="P76"/>
    </row>
    <row r="77" spans="5:16" x14ac:dyDescent="0.25">
      <c r="O77" s="6"/>
      <c r="P77"/>
    </row>
    <row r="78" spans="5:16" x14ac:dyDescent="0.25">
      <c r="O78" s="6"/>
      <c r="P78"/>
    </row>
    <row r="79" spans="5:16" x14ac:dyDescent="0.25">
      <c r="O79" s="6"/>
      <c r="P79"/>
    </row>
    <row r="80" spans="5:16" x14ac:dyDescent="0.25">
      <c r="O80" s="6"/>
      <c r="P80"/>
    </row>
    <row r="81" spans="15:16" x14ac:dyDescent="0.25">
      <c r="O81" s="6"/>
      <c r="P81"/>
    </row>
    <row r="82" spans="15:16" x14ac:dyDescent="0.25">
      <c r="O82" s="6"/>
      <c r="P82"/>
    </row>
    <row r="83" spans="15:16" x14ac:dyDescent="0.25">
      <c r="O83" s="6"/>
      <c r="P83"/>
    </row>
    <row r="84" spans="15:16" x14ac:dyDescent="0.25">
      <c r="O84" s="6"/>
      <c r="P84"/>
    </row>
    <row r="85" spans="15:16" x14ac:dyDescent="0.25">
      <c r="O85" s="6"/>
      <c r="P85"/>
    </row>
    <row r="86" spans="15:16" x14ac:dyDescent="0.25">
      <c r="O86" s="6"/>
      <c r="P86"/>
    </row>
    <row r="87" spans="15:16" x14ac:dyDescent="0.25">
      <c r="O87" s="6"/>
      <c r="P87"/>
    </row>
    <row r="88" spans="15:16" x14ac:dyDescent="0.25">
      <c r="O88" s="6"/>
      <c r="P88"/>
    </row>
    <row r="89" spans="15:16" x14ac:dyDescent="0.25">
      <c r="O89" s="6"/>
      <c r="P89"/>
    </row>
    <row r="90" spans="15:16" x14ac:dyDescent="0.25">
      <c r="O90" s="6"/>
      <c r="P90"/>
    </row>
    <row r="91" spans="15:16" x14ac:dyDescent="0.25">
      <c r="O91" s="6"/>
      <c r="P91"/>
    </row>
    <row r="92" spans="15:16" x14ac:dyDescent="0.25">
      <c r="O92" s="6"/>
      <c r="P92"/>
    </row>
    <row r="93" spans="15:16" x14ac:dyDescent="0.25">
      <c r="O93" s="6"/>
      <c r="P93"/>
    </row>
    <row r="94" spans="15:16" x14ac:dyDescent="0.25">
      <c r="O94" s="6"/>
      <c r="P94"/>
    </row>
    <row r="95" spans="15:16" x14ac:dyDescent="0.25">
      <c r="O95" s="6"/>
      <c r="P95"/>
    </row>
    <row r="96" spans="15:16" x14ac:dyDescent="0.25">
      <c r="O96" s="6"/>
      <c r="P96"/>
    </row>
    <row r="97" spans="15:16" x14ac:dyDescent="0.25">
      <c r="O97" s="6"/>
      <c r="P97"/>
    </row>
    <row r="98" spans="15:16" x14ac:dyDescent="0.25">
      <c r="O98" s="6"/>
      <c r="P98"/>
    </row>
    <row r="99" spans="15:16" x14ac:dyDescent="0.25">
      <c r="O99" s="6"/>
      <c r="P99"/>
    </row>
    <row r="100" spans="15:16" x14ac:dyDescent="0.25">
      <c r="O100" s="6"/>
      <c r="P100"/>
    </row>
    <row r="101" spans="15:16" x14ac:dyDescent="0.25">
      <c r="O101" s="6"/>
      <c r="P101"/>
    </row>
    <row r="102" spans="15:16" x14ac:dyDescent="0.25">
      <c r="O102" s="6"/>
      <c r="P102"/>
    </row>
    <row r="103" spans="15:16" x14ac:dyDescent="0.25">
      <c r="O103" s="6"/>
      <c r="P103"/>
    </row>
    <row r="104" spans="15:16" x14ac:dyDescent="0.25">
      <c r="O104" s="6"/>
      <c r="P104"/>
    </row>
    <row r="105" spans="15:16" x14ac:dyDescent="0.25">
      <c r="O105" s="6"/>
      <c r="P105"/>
    </row>
    <row r="106" spans="15:16" x14ac:dyDescent="0.25">
      <c r="O106" s="6"/>
      <c r="P106"/>
    </row>
    <row r="107" spans="15:16" x14ac:dyDescent="0.25">
      <c r="O107" s="6"/>
      <c r="P107"/>
    </row>
    <row r="108" spans="15:16" x14ac:dyDescent="0.25">
      <c r="O108" s="6"/>
      <c r="P108"/>
    </row>
  </sheetData>
  <autoFilter ref="A3:P55" xr:uid="{6D0430F2-5540-4846-ADF8-D32AEEFA229B}"/>
  <sortState xmlns:xlrd2="http://schemas.microsoft.com/office/spreadsheetml/2017/richdata2" ref="A4:P55">
    <sortCondition ref="E4:E55" customList="Weekday,Wk,Saturday,Sat,Sunday,Sun,Sunday/Holiday,Sunday / Holiday,Reduced"/>
    <sortCondition ref="B4:B55"/>
  </sortState>
  <mergeCells count="3">
    <mergeCell ref="A2:O2"/>
    <mergeCell ref="E57:K57"/>
    <mergeCell ref="E63:K63"/>
  </mergeCells>
  <conditionalFormatting sqref="L4:L55">
    <cfRule type="cellIs" dxfId="33" priority="1" operator="greaterThan">
      <formula>1.6</formula>
    </cfRule>
    <cfRule type="cellIs" dxfId="39" priority="2" operator="between">
      <formula>1.35</formula>
      <formula>1.6</formula>
    </cfRule>
    <cfRule type="cellIs" dxfId="38" priority="3" operator="between">
      <formula>1.2</formula>
      <formula>1.35</formula>
    </cfRule>
  </conditionalFormatting>
  <conditionalFormatting sqref="N4:N55">
    <cfRule type="cellIs" dxfId="37" priority="11" operator="lessThan">
      <formula>0.4</formula>
    </cfRule>
  </conditionalFormatting>
  <conditionalFormatting sqref="N4:N56">
    <cfRule type="cellIs" dxfId="36" priority="12" operator="between">
      <formula>0.65</formula>
      <formula>0.4</formula>
    </cfRule>
    <cfRule type="cellIs" dxfId="35" priority="13" operator="between">
      <formula>0.8</formula>
      <formula>0.65</formula>
    </cfRule>
  </conditionalFormatting>
  <conditionalFormatting sqref="O4:O55">
    <cfRule type="cellIs" dxfId="34" priority="10" operator="lessThan">
      <formula>20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4C8AD-8639-43A9-8303-D920001D09D9}">
  <dimension ref="A1:N23"/>
  <sheetViews>
    <sheetView workbookViewId="0">
      <selection activeCell="B12" sqref="B12"/>
    </sheetView>
  </sheetViews>
  <sheetFormatPr defaultRowHeight="15" x14ac:dyDescent="0.25"/>
  <cols>
    <col min="1" max="1" width="20.7109375" customWidth="1"/>
    <col min="2" max="2" width="9.28515625" customWidth="1"/>
    <col min="3" max="3" width="14.42578125" bestFit="1" customWidth="1"/>
    <col min="4" max="4" width="18.85546875" customWidth="1"/>
    <col min="5" max="5" width="10.7109375" customWidth="1"/>
    <col min="6" max="6" width="12.140625" customWidth="1"/>
    <col min="7" max="7" width="11.42578125" customWidth="1"/>
    <col min="8" max="8" width="13.85546875" bestFit="1" customWidth="1"/>
    <col min="9" max="9" width="11.7109375" customWidth="1"/>
    <col min="10" max="10" width="12.42578125" customWidth="1"/>
    <col min="11" max="11" width="11.7109375" customWidth="1"/>
    <col min="12" max="12" width="14.140625" customWidth="1"/>
    <col min="13" max="13" width="12.42578125" customWidth="1"/>
    <col min="14" max="14" width="35.7109375" customWidth="1"/>
  </cols>
  <sheetData>
    <row r="1" spans="1:14" ht="22.5" x14ac:dyDescent="0.45">
      <c r="A1" s="13" t="s">
        <v>58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7.5" thickBot="1" x14ac:dyDescent="0.75">
      <c r="A2" s="266" t="s">
        <v>103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4" ht="45.75" thickBot="1" x14ac:dyDescent="0.3">
      <c r="A3" s="46" t="s">
        <v>8</v>
      </c>
      <c r="B3" s="225" t="s">
        <v>77</v>
      </c>
      <c r="C3" s="48" t="s">
        <v>78</v>
      </c>
      <c r="D3" s="49" t="s">
        <v>0</v>
      </c>
      <c r="E3" s="49" t="s">
        <v>1</v>
      </c>
      <c r="F3" s="50" t="s">
        <v>2</v>
      </c>
      <c r="G3" s="51" t="s">
        <v>38</v>
      </c>
      <c r="H3" s="52" t="s">
        <v>40</v>
      </c>
      <c r="I3" s="52" t="s">
        <v>86</v>
      </c>
      <c r="J3" s="50" t="s">
        <v>39</v>
      </c>
      <c r="K3" s="53" t="s">
        <v>14</v>
      </c>
      <c r="L3" s="54" t="s">
        <v>75</v>
      </c>
      <c r="M3" s="54" t="s">
        <v>42</v>
      </c>
      <c r="N3" s="55" t="s">
        <v>43</v>
      </c>
    </row>
    <row r="4" spans="1:14" ht="15.75" thickTop="1" x14ac:dyDescent="0.25">
      <c r="A4" s="60" t="s">
        <v>68</v>
      </c>
      <c r="B4" s="62"/>
      <c r="C4" s="62" t="s">
        <v>16</v>
      </c>
      <c r="D4" s="62" t="s">
        <v>17</v>
      </c>
      <c r="E4" s="62" t="s">
        <v>33</v>
      </c>
      <c r="F4" s="110">
        <v>83789537.995191991</v>
      </c>
      <c r="G4" s="110">
        <v>5936106.092886514</v>
      </c>
      <c r="H4" s="134">
        <v>1731632</v>
      </c>
      <c r="I4" s="134">
        <v>1088099</v>
      </c>
      <c r="J4" s="110">
        <f>F4-G4</f>
        <v>77853431.902305484</v>
      </c>
      <c r="K4" s="65">
        <f>J4/H4</f>
        <v>44.959571030279811</v>
      </c>
      <c r="L4" s="66">
        <f>+IF(E4="Weekdays",K4/$H$13,IF(E4="Saturdays",K4/$H$14,IF(E4="Sundays",K4/$H$15,"NA")))</f>
        <v>1</v>
      </c>
      <c r="M4" s="27">
        <f>H4/I4</f>
        <v>1.5914287210998264</v>
      </c>
      <c r="N4" s="114"/>
    </row>
    <row r="5" spans="1:14" x14ac:dyDescent="0.25">
      <c r="A5" s="69" t="s">
        <v>68</v>
      </c>
      <c r="B5" s="21"/>
      <c r="C5" s="21" t="s">
        <v>16</v>
      </c>
      <c r="D5" s="21" t="s">
        <v>17</v>
      </c>
      <c r="E5" s="21" t="s">
        <v>65</v>
      </c>
      <c r="F5" s="24">
        <v>8137765.0848992933</v>
      </c>
      <c r="G5" s="24">
        <v>463544.62361614965</v>
      </c>
      <c r="H5" s="28">
        <v>147722</v>
      </c>
      <c r="I5" s="28">
        <v>104834</v>
      </c>
      <c r="J5" s="24">
        <f>F5-G5</f>
        <v>7674220.4612831436</v>
      </c>
      <c r="K5" s="25">
        <f>J5/H5</f>
        <v>51.950423506878757</v>
      </c>
      <c r="L5" s="193">
        <f t="shared" ref="L5:L7" si="0">+IF(E5="Weekdays",K5/$H$13,IF(E5="Saturdays",K5/$H$14,IF(E5="Sundays",K5/$H$15,"NA")))</f>
        <v>1</v>
      </c>
      <c r="M5" s="27">
        <f>H5/I5</f>
        <v>1.4091039166682564</v>
      </c>
      <c r="N5" s="117"/>
    </row>
    <row r="6" spans="1:14" x14ac:dyDescent="0.25">
      <c r="A6" s="69" t="s">
        <v>68</v>
      </c>
      <c r="B6" s="21"/>
      <c r="C6" s="21" t="s">
        <v>16</v>
      </c>
      <c r="D6" s="21" t="s">
        <v>17</v>
      </c>
      <c r="E6" s="21" t="s">
        <v>66</v>
      </c>
      <c r="F6" s="24">
        <v>7941521.218797395</v>
      </c>
      <c r="G6" s="24">
        <v>459443.28349733556</v>
      </c>
      <c r="H6" s="28">
        <v>145575</v>
      </c>
      <c r="I6" s="28">
        <v>102294</v>
      </c>
      <c r="J6" s="24">
        <f>F6-G6</f>
        <v>7482077.9353000596</v>
      </c>
      <c r="K6" s="25">
        <f>J6/H6</f>
        <v>51.396722894041282</v>
      </c>
      <c r="L6" s="193">
        <f t="shared" si="0"/>
        <v>1</v>
      </c>
      <c r="M6" s="27">
        <f>H6/I6</f>
        <v>1.4231039943691712</v>
      </c>
      <c r="N6" s="117"/>
    </row>
    <row r="7" spans="1:14" ht="15.75" thickBot="1" x14ac:dyDescent="0.3">
      <c r="A7" s="73" t="s">
        <v>68</v>
      </c>
      <c r="B7" s="75"/>
      <c r="C7" s="75" t="s">
        <v>92</v>
      </c>
      <c r="D7" s="75" t="s">
        <v>104</v>
      </c>
      <c r="E7" s="75" t="s">
        <v>33</v>
      </c>
      <c r="F7" s="121">
        <v>8708762</v>
      </c>
      <c r="G7" s="121">
        <v>532995</v>
      </c>
      <c r="H7" s="194">
        <v>122781</v>
      </c>
      <c r="I7" s="194">
        <v>88450</v>
      </c>
      <c r="J7" s="121">
        <f>+F7-G7</f>
        <v>8175767</v>
      </c>
      <c r="K7" s="78">
        <f>J7/H7</f>
        <v>66.588209902183564</v>
      </c>
      <c r="L7" s="195">
        <f t="shared" si="0"/>
        <v>1.4810686217921671</v>
      </c>
      <c r="M7" s="80">
        <f>H7/I7</f>
        <v>1.3881401921989824</v>
      </c>
      <c r="N7" s="125"/>
    </row>
    <row r="8" spans="1:14" ht="15.75" thickTop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15.75" thickBot="1" x14ac:dyDescent="0.3">
      <c r="A11" s="21"/>
      <c r="B11" s="21"/>
      <c r="C11" s="21"/>
      <c r="D11" s="21"/>
      <c r="E11" s="271" t="s">
        <v>17</v>
      </c>
      <c r="F11" s="271"/>
      <c r="G11" s="271"/>
      <c r="H11" s="271"/>
      <c r="I11" s="271"/>
      <c r="J11" s="271"/>
      <c r="K11" s="271"/>
      <c r="L11" s="271"/>
      <c r="M11" s="21"/>
      <c r="N11" s="21"/>
    </row>
    <row r="12" spans="1:14" ht="36" x14ac:dyDescent="0.25">
      <c r="A12" s="21"/>
      <c r="B12" s="21"/>
      <c r="C12" s="21"/>
      <c r="D12" s="21"/>
      <c r="E12" s="82" t="s">
        <v>63</v>
      </c>
      <c r="F12" s="196"/>
      <c r="G12" s="126" t="s">
        <v>44</v>
      </c>
      <c r="H12" s="127" t="s">
        <v>45</v>
      </c>
      <c r="I12" s="127" t="s">
        <v>46</v>
      </c>
      <c r="J12" s="127" t="s">
        <v>47</v>
      </c>
      <c r="K12" s="128" t="s">
        <v>48</v>
      </c>
      <c r="L12" s="85" t="s">
        <v>62</v>
      </c>
      <c r="M12" s="21"/>
      <c r="N12" s="21"/>
    </row>
    <row r="13" spans="1:14" x14ac:dyDescent="0.25">
      <c r="A13" s="21"/>
      <c r="B13" s="21"/>
      <c r="C13" s="21"/>
      <c r="D13" s="21"/>
      <c r="E13" s="86">
        <f>COUNTIF($E$4:$E$7, "Weekday")</f>
        <v>0</v>
      </c>
      <c r="F13" s="143"/>
      <c r="G13" s="153" t="s">
        <v>33</v>
      </c>
      <c r="H13" s="154">
        <f>AVERAGEIF($E$4:$E$6,"Weekdays",K4:K6)</f>
        <v>44.959571030279811</v>
      </c>
      <c r="I13" s="155">
        <f>H13*1.2</f>
        <v>53.95148523633577</v>
      </c>
      <c r="J13" s="156">
        <f>H13*1.35</f>
        <v>60.695420890877749</v>
      </c>
      <c r="K13" s="157">
        <f>H13*1.6</f>
        <v>71.935313648447703</v>
      </c>
      <c r="L13" s="92">
        <f>+SUMIF($E$4:$E$6,"Weekdays",$J$4:$J$6)/SUMIF($E$4:$E$6,"Weekdays",$H$4:$H$6)</f>
        <v>44.959571030279811</v>
      </c>
      <c r="M13" s="21"/>
      <c r="N13" s="21"/>
    </row>
    <row r="14" spans="1:14" x14ac:dyDescent="0.25">
      <c r="A14" s="21"/>
      <c r="B14" s="21"/>
      <c r="C14" s="21"/>
      <c r="D14" s="21"/>
      <c r="E14" s="86">
        <f>COUNTIF($E$4:$E$7, "Saturday")</f>
        <v>0</v>
      </c>
      <c r="F14" s="143"/>
      <c r="G14" s="153" t="s">
        <v>65</v>
      </c>
      <c r="H14" s="154">
        <f>AVERAGEIF($E$4:$E$6,"Saturdays",K4:K6)</f>
        <v>51.950423506878757</v>
      </c>
      <c r="I14" s="155">
        <f>H14*1.2</f>
        <v>62.340508208254505</v>
      </c>
      <c r="J14" s="156">
        <f>H14*1.35</f>
        <v>70.133071734286332</v>
      </c>
      <c r="K14" s="157">
        <f>H14*1.6</f>
        <v>83.120677611006016</v>
      </c>
      <c r="L14" s="92">
        <f>+SUMIF($E$4:$E$6,"saturdays",$J$4:$J$6)/SUMIF($E$4:$E$6,"saturdays",$H$4:$H$6)</f>
        <v>51.950423506878757</v>
      </c>
      <c r="M14" s="21"/>
      <c r="N14" s="21"/>
    </row>
    <row r="15" spans="1:14" ht="15.75" thickBot="1" x14ac:dyDescent="0.3">
      <c r="A15" s="21"/>
      <c r="B15" s="21"/>
      <c r="C15" s="21"/>
      <c r="D15" s="21"/>
      <c r="E15" s="98">
        <f>COUNTIF($E$4:$E$7, "Sunday")</f>
        <v>0</v>
      </c>
      <c r="F15" s="152"/>
      <c r="G15" s="184" t="s">
        <v>66</v>
      </c>
      <c r="H15" s="185">
        <f>AVERAGEIF($E$4:$E$6,"Sundays",K4:K6)</f>
        <v>51.396722894041282</v>
      </c>
      <c r="I15" s="186">
        <f>H15*1.2</f>
        <v>61.676067472849539</v>
      </c>
      <c r="J15" s="187">
        <f>H15*1.35</f>
        <v>69.385575906955737</v>
      </c>
      <c r="K15" s="188">
        <f>H15*1.6</f>
        <v>82.234756630466052</v>
      </c>
      <c r="L15" s="108">
        <f>+SUMIF($E$4:$E$6,"Sundays",$J$4:$J$6)/SUMIF($E$4:$E$6,"Sundays",$H$4:$H$6)</f>
        <v>51.396722894041282</v>
      </c>
      <c r="M15" s="21"/>
      <c r="N15" s="21"/>
    </row>
    <row r="16" spans="1:14" ht="15.75" thickBot="1" x14ac:dyDescent="0.3">
      <c r="A16" s="21"/>
      <c r="B16" s="21"/>
      <c r="C16" s="21"/>
      <c r="D16" s="21"/>
      <c r="E16" s="21"/>
      <c r="F16" s="21"/>
      <c r="G16" s="159" t="s">
        <v>61</v>
      </c>
      <c r="H16" s="105">
        <v>2</v>
      </c>
      <c r="I16" s="106"/>
      <c r="J16" s="106"/>
      <c r="K16" s="107"/>
      <c r="L16" s="108">
        <f>+SUM($J$4:$J$6)/SUM($H$4:$H$6)</f>
        <v>45.932341479078367</v>
      </c>
      <c r="M16" s="21"/>
      <c r="N16" s="21"/>
    </row>
    <row r="18" spans="5:12" ht="15.75" thickBot="1" x14ac:dyDescent="0.3">
      <c r="E18" s="271" t="s">
        <v>104</v>
      </c>
      <c r="F18" s="271"/>
      <c r="G18" s="271"/>
      <c r="H18" s="271"/>
      <c r="I18" s="271"/>
      <c r="J18" s="271"/>
      <c r="K18" s="271"/>
      <c r="L18" s="271"/>
    </row>
    <row r="19" spans="5:12" ht="36" x14ac:dyDescent="0.25">
      <c r="E19" s="82" t="s">
        <v>63</v>
      </c>
      <c r="F19" s="196"/>
      <c r="G19" s="126" t="s">
        <v>44</v>
      </c>
      <c r="H19" s="127" t="s">
        <v>45</v>
      </c>
      <c r="I19" s="127" t="s">
        <v>46</v>
      </c>
      <c r="J19" s="127" t="s">
        <v>47</v>
      </c>
      <c r="K19" s="128" t="s">
        <v>48</v>
      </c>
      <c r="L19" s="85" t="s">
        <v>62</v>
      </c>
    </row>
    <row r="20" spans="5:12" x14ac:dyDescent="0.25">
      <c r="E20" s="86">
        <f>COUNTIF($E$4:$E$7, "Weekday")</f>
        <v>0</v>
      </c>
      <c r="F20" s="143"/>
      <c r="G20" s="153" t="s">
        <v>33</v>
      </c>
      <c r="H20" s="154">
        <f>AVERAGEIF($E$7,"Weekdays",K7)</f>
        <v>66.588209902183564</v>
      </c>
      <c r="I20" s="155">
        <f>H20*1.2</f>
        <v>79.905851882620269</v>
      </c>
      <c r="J20" s="156">
        <f>H20*1.35</f>
        <v>89.894083367947815</v>
      </c>
      <c r="K20" s="157">
        <f>H20*1.6</f>
        <v>106.54113584349371</v>
      </c>
      <c r="L20" s="92">
        <f>+SUMIF($E$7,"Weekdays",$J$7)/SUMIF($E$7,"Weekdays",$H$7)</f>
        <v>66.588209902183564</v>
      </c>
    </row>
    <row r="21" spans="5:12" x14ac:dyDescent="0.25">
      <c r="E21" s="86">
        <f>COUNTIF($E$4:$E$7, "Saturday")</f>
        <v>0</v>
      </c>
      <c r="F21" s="143"/>
      <c r="G21" s="153" t="s">
        <v>65</v>
      </c>
      <c r="H21" s="154" t="e">
        <f>AVERAGEIF($E$7,"Saturdays",K7)</f>
        <v>#DIV/0!</v>
      </c>
      <c r="I21" s="155" t="e">
        <f>H21*1.2</f>
        <v>#DIV/0!</v>
      </c>
      <c r="J21" s="156" t="e">
        <f>H21*1.35</f>
        <v>#DIV/0!</v>
      </c>
      <c r="K21" s="157" t="e">
        <f>H21*1.6</f>
        <v>#DIV/0!</v>
      </c>
      <c r="L21" s="92" t="e">
        <f>+SUMIF($E$7,"saturdays",$J$7)/SUMIF($E$7,"saturdays",$H$7)</f>
        <v>#DIV/0!</v>
      </c>
    </row>
    <row r="22" spans="5:12" ht="15.75" thickBot="1" x14ac:dyDescent="0.3">
      <c r="E22" s="98">
        <f>COUNTIF($E$4:$E$7, "Sunday")</f>
        <v>0</v>
      </c>
      <c r="F22" s="152"/>
      <c r="G22" s="184" t="s">
        <v>66</v>
      </c>
      <c r="H22" s="185" t="e">
        <f>AVERAGEIF($E$7,"Sundays",K7)</f>
        <v>#DIV/0!</v>
      </c>
      <c r="I22" s="186" t="e">
        <f>H22*1.2</f>
        <v>#DIV/0!</v>
      </c>
      <c r="J22" s="187" t="e">
        <f>H22*1.35</f>
        <v>#DIV/0!</v>
      </c>
      <c r="K22" s="188" t="e">
        <f>H22*1.6</f>
        <v>#DIV/0!</v>
      </c>
      <c r="L22" s="108" t="e">
        <f>+SUMIF($E$7,"Sundays",$J$7)/SUMIF($E$7,"Sundays",$H$7)</f>
        <v>#DIV/0!</v>
      </c>
    </row>
    <row r="23" spans="5:12" ht="15.75" thickBot="1" x14ac:dyDescent="0.3">
      <c r="E23" s="21"/>
      <c r="F23" s="21"/>
      <c r="G23" s="159" t="s">
        <v>61</v>
      </c>
      <c r="H23" s="105">
        <v>2</v>
      </c>
      <c r="I23" s="106"/>
      <c r="J23" s="106"/>
      <c r="K23" s="107"/>
      <c r="L23" s="108">
        <f>+SUM($J$7)/SUM($H$7)</f>
        <v>66.588209902183564</v>
      </c>
    </row>
  </sheetData>
  <mergeCells count="3">
    <mergeCell ref="A2:N2"/>
    <mergeCell ref="E11:L11"/>
    <mergeCell ref="E18:L18"/>
  </mergeCells>
  <conditionalFormatting sqref="L1">
    <cfRule type="cellIs" dxfId="49" priority="5" operator="greaterThan">
      <formula>1.6</formula>
    </cfRule>
  </conditionalFormatting>
  <conditionalFormatting sqref="L4">
    <cfRule type="cellIs" dxfId="48" priority="2" operator="greaterThan">
      <formula>1.6</formula>
    </cfRule>
    <cfRule type="cellIs" dxfId="47" priority="3" operator="between">
      <formula>1.35</formula>
      <formula>1.6</formula>
    </cfRule>
    <cfRule type="cellIs" dxfId="46" priority="4" operator="between">
      <formula>1.2</formula>
      <formula>1.35</formula>
    </cfRule>
  </conditionalFormatting>
  <conditionalFormatting sqref="M4:M7">
    <cfRule type="cellIs" dxfId="45" priority="1" operator="lessThan">
      <formula>$H$16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C1A7E-37E3-40EC-BF26-90385167816C}">
  <dimension ref="A1:N4"/>
  <sheetViews>
    <sheetView workbookViewId="0">
      <selection activeCell="B4" sqref="B4"/>
    </sheetView>
  </sheetViews>
  <sheetFormatPr defaultRowHeight="15" x14ac:dyDescent="0.25"/>
  <cols>
    <col min="1" max="1" width="20.7109375" customWidth="1"/>
    <col min="2" max="2" width="10.7109375" customWidth="1"/>
    <col min="3" max="3" width="14.42578125" bestFit="1" customWidth="1"/>
    <col min="4" max="4" width="8.7109375" customWidth="1"/>
    <col min="5" max="5" width="10.7109375" customWidth="1"/>
    <col min="6" max="6" width="9.7109375" customWidth="1"/>
    <col min="7" max="11" width="11.7109375" customWidth="1"/>
    <col min="12" max="12" width="14.140625" customWidth="1"/>
    <col min="13" max="13" width="12.5703125" customWidth="1"/>
    <col min="14" max="14" width="35.7109375" customWidth="1"/>
  </cols>
  <sheetData>
    <row r="1" spans="1:14" ht="22.5" x14ac:dyDescent="0.45">
      <c r="A1" s="13" t="s">
        <v>59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7.5" thickBot="1" x14ac:dyDescent="0.75">
      <c r="A2" s="266" t="s">
        <v>89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4" s="6" customFormat="1" ht="45" x14ac:dyDescent="0.25">
      <c r="A3" s="57" t="s">
        <v>8</v>
      </c>
      <c r="B3" s="225" t="s">
        <v>77</v>
      </c>
      <c r="C3" s="58" t="s">
        <v>78</v>
      </c>
      <c r="D3" s="49" t="s">
        <v>0</v>
      </c>
      <c r="E3" s="49" t="s">
        <v>1</v>
      </c>
      <c r="F3" s="51" t="s">
        <v>2</v>
      </c>
      <c r="G3" s="51" t="s">
        <v>38</v>
      </c>
      <c r="H3" s="52" t="s">
        <v>40</v>
      </c>
      <c r="I3" s="52" t="s">
        <v>86</v>
      </c>
      <c r="J3" s="51" t="s">
        <v>39</v>
      </c>
      <c r="K3" s="53" t="s">
        <v>14</v>
      </c>
      <c r="L3" s="54" t="s">
        <v>75</v>
      </c>
      <c r="M3" s="54" t="s">
        <v>42</v>
      </c>
      <c r="N3" s="59" t="s">
        <v>43</v>
      </c>
    </row>
    <row r="4" spans="1:14" ht="15.75" thickBot="1" x14ac:dyDescent="0.3">
      <c r="A4" s="175" t="s">
        <v>68</v>
      </c>
      <c r="B4" s="175"/>
      <c r="C4" s="176" t="s">
        <v>15</v>
      </c>
      <c r="D4" s="175" t="s">
        <v>60</v>
      </c>
      <c r="E4" s="176" t="s">
        <v>13</v>
      </c>
      <c r="F4" s="197">
        <v>775479</v>
      </c>
      <c r="G4" s="197">
        <v>495440</v>
      </c>
      <c r="H4" s="178">
        <v>94739</v>
      </c>
      <c r="I4" s="179">
        <v>21744</v>
      </c>
      <c r="J4" s="197">
        <f>F4-G4</f>
        <v>280039</v>
      </c>
      <c r="K4" s="151">
        <f>J4/H4</f>
        <v>2.955899893391317</v>
      </c>
      <c r="L4" s="198">
        <v>1</v>
      </c>
      <c r="M4" s="199">
        <f>H4/I4</f>
        <v>4.357018027961737</v>
      </c>
      <c r="N4" s="152"/>
    </row>
  </sheetData>
  <mergeCells count="1">
    <mergeCell ref="A2:N2"/>
  </mergeCells>
  <conditionalFormatting sqref="L1">
    <cfRule type="cellIs" dxfId="44" priority="1" operator="greaterThan">
      <formula>1.6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7F75E-2FB1-4263-8E71-4C64139B52E2}">
  <dimension ref="A1:P322"/>
  <sheetViews>
    <sheetView workbookViewId="0">
      <pane ySplit="2" topLeftCell="A3" activePane="bottomLeft" state="frozen"/>
      <selection pane="bottomLeft" activeCell="A3" sqref="A3"/>
    </sheetView>
  </sheetViews>
  <sheetFormatPr defaultColWidth="9.140625" defaultRowHeight="15" x14ac:dyDescent="0.25"/>
  <cols>
    <col min="1" max="1" width="24.5703125" style="21" customWidth="1"/>
    <col min="2" max="2" width="10.42578125" style="21" customWidth="1"/>
    <col min="3" max="3" width="13.5703125" style="21" customWidth="1"/>
    <col min="4" max="4" width="18.140625" style="21" customWidth="1"/>
    <col min="5" max="5" width="13.28515625" style="21" customWidth="1"/>
    <col min="6" max="6" width="10.42578125" style="21" customWidth="1"/>
    <col min="7" max="7" width="15.28515625" style="25" customWidth="1"/>
    <col min="8" max="8" width="14.140625" style="25" customWidth="1"/>
    <col min="9" max="9" width="12.140625" style="44" customWidth="1"/>
    <col min="10" max="10" width="12" style="44" customWidth="1"/>
    <col min="11" max="11" width="13.85546875" style="21" customWidth="1"/>
    <col min="12" max="12" width="14.5703125" style="21" customWidth="1"/>
    <col min="13" max="13" width="11.7109375" style="21" customWidth="1"/>
    <col min="14" max="14" width="12.42578125" style="21" customWidth="1"/>
    <col min="15" max="15" width="13.5703125" style="21" customWidth="1"/>
    <col min="16" max="16" width="36.85546875" style="21" customWidth="1"/>
    <col min="17" max="16384" width="9.140625" style="21"/>
  </cols>
  <sheetData>
    <row r="1" spans="1:16" ht="37.5" thickBot="1" x14ac:dyDescent="0.75">
      <c r="A1" s="272" t="s">
        <v>108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s="20" customFormat="1" ht="38.25" customHeight="1" thickBot="1" x14ac:dyDescent="0.3">
      <c r="A2" s="200" t="s">
        <v>8</v>
      </c>
      <c r="B2" s="200" t="s">
        <v>77</v>
      </c>
      <c r="C2" s="200" t="s">
        <v>78</v>
      </c>
      <c r="D2" s="200" t="s">
        <v>0</v>
      </c>
      <c r="E2" s="200" t="s">
        <v>29</v>
      </c>
      <c r="F2" s="200" t="s">
        <v>91</v>
      </c>
      <c r="G2" s="200" t="s">
        <v>2</v>
      </c>
      <c r="H2" s="200" t="s">
        <v>4</v>
      </c>
      <c r="I2" s="200" t="s">
        <v>3</v>
      </c>
      <c r="J2" s="200" t="s">
        <v>5</v>
      </c>
      <c r="K2" s="200" t="s">
        <v>27</v>
      </c>
      <c r="L2" s="200" t="s">
        <v>14</v>
      </c>
      <c r="M2" s="200" t="s">
        <v>107</v>
      </c>
      <c r="N2" s="200" t="s">
        <v>28</v>
      </c>
      <c r="O2" s="200" t="s">
        <v>35</v>
      </c>
      <c r="P2" s="200" t="s">
        <v>26</v>
      </c>
    </row>
    <row r="3" spans="1:16" x14ac:dyDescent="0.25">
      <c r="A3" s="160" t="s">
        <v>67</v>
      </c>
      <c r="B3" s="162">
        <v>902</v>
      </c>
      <c r="C3" s="162" t="s">
        <v>22</v>
      </c>
      <c r="D3" s="162" t="s">
        <v>24</v>
      </c>
      <c r="E3" s="162" t="s">
        <v>105</v>
      </c>
      <c r="F3" s="161" t="s">
        <v>33</v>
      </c>
      <c r="G3" s="201">
        <v>32193437.8025443</v>
      </c>
      <c r="H3" s="201">
        <v>5873114.8755021635</v>
      </c>
      <c r="I3" s="202">
        <v>6199200</v>
      </c>
      <c r="J3" s="203">
        <v>28727.720000000125</v>
      </c>
      <c r="K3" s="163">
        <f t="shared" ref="K3:K66" si="0">ROUND(G3-H3,0)</f>
        <v>26320323</v>
      </c>
      <c r="L3" s="204">
        <f t="shared" ref="L3:L66" si="1">ROUND(K3/I3,2)</f>
        <v>4.25</v>
      </c>
      <c r="M3" s="205">
        <f t="shared" ref="M3:M66" si="2">+H3/G3</f>
        <v>0.18243205064101609</v>
      </c>
      <c r="N3" s="206">
        <f t="shared" ref="N3:N66" si="3">ROUND(I3/J3,1)</f>
        <v>215.8</v>
      </c>
      <c r="O3" s="204">
        <f t="shared" ref="O3:O66" si="4">ROUND(G3/J3,2)</f>
        <v>1120.6400000000001</v>
      </c>
      <c r="P3" s="169"/>
    </row>
    <row r="4" spans="1:16" x14ac:dyDescent="0.25">
      <c r="A4" s="93" t="s">
        <v>67</v>
      </c>
      <c r="B4" s="21">
        <v>924</v>
      </c>
      <c r="C4" s="21" t="s">
        <v>84</v>
      </c>
      <c r="D4" s="21" t="s">
        <v>53</v>
      </c>
      <c r="E4" s="21" t="s">
        <v>30</v>
      </c>
      <c r="F4" s="22" t="s">
        <v>33</v>
      </c>
      <c r="G4" s="207">
        <v>16743147.901733719</v>
      </c>
      <c r="H4" s="207">
        <v>826258.17019974603</v>
      </c>
      <c r="I4" s="208">
        <v>2993011.5257387073</v>
      </c>
      <c r="J4" s="209">
        <v>60496.569999999927</v>
      </c>
      <c r="K4" s="24">
        <f t="shared" si="0"/>
        <v>15916890</v>
      </c>
      <c r="L4" s="25">
        <f t="shared" si="1"/>
        <v>5.32</v>
      </c>
      <c r="M4" s="26">
        <f t="shared" si="2"/>
        <v>4.9349033709138332E-2</v>
      </c>
      <c r="N4" s="27">
        <f t="shared" si="3"/>
        <v>49.5</v>
      </c>
      <c r="O4" s="25">
        <f t="shared" si="4"/>
        <v>276.76</v>
      </c>
      <c r="P4" s="143"/>
    </row>
    <row r="5" spans="1:16" x14ac:dyDescent="0.25">
      <c r="A5" s="93" t="s">
        <v>68</v>
      </c>
      <c r="B5" s="21">
        <v>539</v>
      </c>
      <c r="D5" s="21" t="s">
        <v>20</v>
      </c>
      <c r="E5" s="21" t="s">
        <v>30</v>
      </c>
      <c r="F5" s="21" t="s">
        <v>33</v>
      </c>
      <c r="G5" s="24">
        <v>682984.02010350511</v>
      </c>
      <c r="H5" s="24">
        <v>118952.31353437145</v>
      </c>
      <c r="I5" s="28">
        <v>92119</v>
      </c>
      <c r="J5" s="28">
        <v>6046.7</v>
      </c>
      <c r="K5" s="24">
        <f t="shared" si="0"/>
        <v>564032</v>
      </c>
      <c r="L5" s="25">
        <f t="shared" si="1"/>
        <v>6.12</v>
      </c>
      <c r="M5" s="26">
        <f t="shared" si="2"/>
        <v>0.17416558811484992</v>
      </c>
      <c r="N5" s="27">
        <f t="shared" si="3"/>
        <v>15.2</v>
      </c>
      <c r="O5" s="25">
        <f t="shared" si="4"/>
        <v>112.95</v>
      </c>
      <c r="P5" s="143"/>
    </row>
    <row r="6" spans="1:16" x14ac:dyDescent="0.25">
      <c r="A6" s="93" t="s">
        <v>67</v>
      </c>
      <c r="B6" s="21">
        <v>923</v>
      </c>
      <c r="C6" s="21" t="s">
        <v>83</v>
      </c>
      <c r="D6" s="21" t="s">
        <v>53</v>
      </c>
      <c r="E6" s="21" t="s">
        <v>30</v>
      </c>
      <c r="F6" s="22" t="s">
        <v>33</v>
      </c>
      <c r="G6" s="207">
        <v>8938745.1915115342</v>
      </c>
      <c r="H6" s="207">
        <v>573555.92908031726</v>
      </c>
      <c r="I6" s="208">
        <v>1350230</v>
      </c>
      <c r="J6" s="209">
        <v>29062.27000000011</v>
      </c>
      <c r="K6" s="24">
        <f t="shared" si="0"/>
        <v>8365189</v>
      </c>
      <c r="L6" s="25">
        <f t="shared" si="1"/>
        <v>6.2</v>
      </c>
      <c r="M6" s="26">
        <f t="shared" si="2"/>
        <v>6.4165150341793042E-2</v>
      </c>
      <c r="N6" s="27">
        <f t="shared" si="3"/>
        <v>46.5</v>
      </c>
      <c r="O6" s="25">
        <f t="shared" si="4"/>
        <v>307.57</v>
      </c>
      <c r="P6" s="143"/>
    </row>
    <row r="7" spans="1:16" x14ac:dyDescent="0.25">
      <c r="A7" s="93" t="s">
        <v>67</v>
      </c>
      <c r="B7" s="21">
        <v>901</v>
      </c>
      <c r="C7" s="21" t="s">
        <v>21</v>
      </c>
      <c r="D7" s="21" t="s">
        <v>24</v>
      </c>
      <c r="E7" s="21" t="s">
        <v>105</v>
      </c>
      <c r="F7" s="22" t="s">
        <v>33</v>
      </c>
      <c r="G7" s="207">
        <v>33565624.189401411</v>
      </c>
      <c r="H7" s="207">
        <v>3743341.2446590168</v>
      </c>
      <c r="I7" s="208">
        <v>4590178</v>
      </c>
      <c r="J7" s="209">
        <v>26009.710000000057</v>
      </c>
      <c r="K7" s="24">
        <f t="shared" si="0"/>
        <v>29822283</v>
      </c>
      <c r="L7" s="25">
        <f t="shared" si="1"/>
        <v>6.5</v>
      </c>
      <c r="M7" s="26">
        <f t="shared" si="2"/>
        <v>0.11152306370161304</v>
      </c>
      <c r="N7" s="27">
        <f t="shared" si="3"/>
        <v>176.5</v>
      </c>
      <c r="O7" s="25">
        <f t="shared" si="4"/>
        <v>1290.5</v>
      </c>
      <c r="P7" s="143"/>
    </row>
    <row r="8" spans="1:16" x14ac:dyDescent="0.25">
      <c r="A8" s="93" t="s">
        <v>67</v>
      </c>
      <c r="B8" s="22">
        <v>2</v>
      </c>
      <c r="D8" s="22" t="s">
        <v>18</v>
      </c>
      <c r="E8" s="21" t="s">
        <v>30</v>
      </c>
      <c r="F8" s="22" t="s">
        <v>33</v>
      </c>
      <c r="G8" s="25">
        <v>7510517.4103160473</v>
      </c>
      <c r="H8" s="25">
        <v>942621.7394997885</v>
      </c>
      <c r="I8" s="29">
        <v>932961.49245619134</v>
      </c>
      <c r="J8" s="30">
        <v>25433.809999999954</v>
      </c>
      <c r="K8" s="24">
        <f t="shared" si="0"/>
        <v>6567896</v>
      </c>
      <c r="L8" s="25">
        <f t="shared" si="1"/>
        <v>7.04</v>
      </c>
      <c r="M8" s="26">
        <f t="shared" si="2"/>
        <v>0.12550689759470546</v>
      </c>
      <c r="N8" s="27">
        <f t="shared" si="3"/>
        <v>36.700000000000003</v>
      </c>
      <c r="O8" s="25">
        <f t="shared" si="4"/>
        <v>295.3</v>
      </c>
      <c r="P8" s="143"/>
    </row>
    <row r="9" spans="1:16" x14ac:dyDescent="0.25">
      <c r="A9" s="93" t="s">
        <v>67</v>
      </c>
      <c r="B9" s="21">
        <v>921</v>
      </c>
      <c r="C9" s="21" t="s">
        <v>82</v>
      </c>
      <c r="D9" s="21" t="s">
        <v>53</v>
      </c>
      <c r="E9" s="21" t="s">
        <v>30</v>
      </c>
      <c r="F9" s="22" t="s">
        <v>33</v>
      </c>
      <c r="G9" s="207">
        <v>6904527.5398289943</v>
      </c>
      <c r="H9" s="207">
        <v>570507.61747332197</v>
      </c>
      <c r="I9" s="208">
        <v>893248</v>
      </c>
      <c r="J9" s="209">
        <v>21133.390000000101</v>
      </c>
      <c r="K9" s="24">
        <f t="shared" si="0"/>
        <v>6334020</v>
      </c>
      <c r="L9" s="25">
        <f t="shared" si="1"/>
        <v>7.09</v>
      </c>
      <c r="M9" s="26">
        <f t="shared" si="2"/>
        <v>8.2628045754373491E-2</v>
      </c>
      <c r="N9" s="27">
        <f t="shared" si="3"/>
        <v>42.3</v>
      </c>
      <c r="O9" s="25">
        <f t="shared" si="4"/>
        <v>326.70999999999998</v>
      </c>
      <c r="P9" s="143"/>
    </row>
    <row r="10" spans="1:16" x14ac:dyDescent="0.25">
      <c r="A10" s="93" t="s">
        <v>68</v>
      </c>
      <c r="B10" s="22">
        <v>87</v>
      </c>
      <c r="C10" s="22"/>
      <c r="D10" s="21" t="s">
        <v>19</v>
      </c>
      <c r="E10" s="21" t="s">
        <v>30</v>
      </c>
      <c r="F10" s="22" t="s">
        <v>33</v>
      </c>
      <c r="G10" s="25">
        <v>1026949.5749583647</v>
      </c>
      <c r="H10" s="31">
        <v>176043.90161427049</v>
      </c>
      <c r="I10" s="29">
        <v>118950</v>
      </c>
      <c r="J10" s="30">
        <v>9652.7899999999991</v>
      </c>
      <c r="K10" s="24">
        <f t="shared" si="0"/>
        <v>850906</v>
      </c>
      <c r="L10" s="25">
        <f t="shared" si="1"/>
        <v>7.15</v>
      </c>
      <c r="M10" s="26">
        <f t="shared" si="2"/>
        <v>0.17142409511334361</v>
      </c>
      <c r="N10" s="27">
        <f t="shared" si="3"/>
        <v>12.3</v>
      </c>
      <c r="O10" s="25">
        <f t="shared" si="4"/>
        <v>106.39</v>
      </c>
      <c r="P10" s="143"/>
    </row>
    <row r="11" spans="1:16" x14ac:dyDescent="0.25">
      <c r="A11" s="93" t="s">
        <v>68</v>
      </c>
      <c r="B11" s="22">
        <v>65</v>
      </c>
      <c r="C11" s="22"/>
      <c r="D11" s="21" t="s">
        <v>19</v>
      </c>
      <c r="E11" s="21" t="s">
        <v>30</v>
      </c>
      <c r="F11" s="22" t="s">
        <v>33</v>
      </c>
      <c r="G11" s="25">
        <v>682853.1415447453</v>
      </c>
      <c r="H11" s="31">
        <v>92323.685489968717</v>
      </c>
      <c r="I11" s="29">
        <v>81448</v>
      </c>
      <c r="J11" s="30">
        <v>6090.09</v>
      </c>
      <c r="K11" s="24">
        <f t="shared" si="0"/>
        <v>590529</v>
      </c>
      <c r="L11" s="25">
        <f t="shared" si="1"/>
        <v>7.25</v>
      </c>
      <c r="M11" s="26">
        <f t="shared" si="2"/>
        <v>0.13520284212373215</v>
      </c>
      <c r="N11" s="27">
        <f t="shared" si="3"/>
        <v>13.4</v>
      </c>
      <c r="O11" s="25">
        <f t="shared" si="4"/>
        <v>112.13</v>
      </c>
      <c r="P11" s="210"/>
    </row>
    <row r="12" spans="1:16" x14ac:dyDescent="0.25">
      <c r="A12" s="93" t="s">
        <v>67</v>
      </c>
      <c r="B12" s="22">
        <v>21</v>
      </c>
      <c r="D12" s="22" t="s">
        <v>18</v>
      </c>
      <c r="E12" s="21" t="s">
        <v>30</v>
      </c>
      <c r="F12" s="22" t="s">
        <v>33</v>
      </c>
      <c r="G12" s="25">
        <v>15800158.712435385</v>
      </c>
      <c r="H12" s="25">
        <v>1793111.1578258215</v>
      </c>
      <c r="I12" s="29">
        <v>1841977.2843820595</v>
      </c>
      <c r="J12" s="30">
        <v>56758.219999999834</v>
      </c>
      <c r="K12" s="24">
        <f t="shared" si="0"/>
        <v>14007048</v>
      </c>
      <c r="L12" s="25">
        <f t="shared" si="1"/>
        <v>7.6</v>
      </c>
      <c r="M12" s="26">
        <f t="shared" si="2"/>
        <v>0.113486907977359</v>
      </c>
      <c r="N12" s="27">
        <f t="shared" si="3"/>
        <v>32.5</v>
      </c>
      <c r="O12" s="25">
        <f t="shared" si="4"/>
        <v>278.38</v>
      </c>
      <c r="P12" s="143"/>
    </row>
    <row r="13" spans="1:16" x14ac:dyDescent="0.25">
      <c r="A13" s="93" t="s">
        <v>68</v>
      </c>
      <c r="B13" s="22">
        <v>80</v>
      </c>
      <c r="C13" s="22"/>
      <c r="D13" s="21" t="s">
        <v>19</v>
      </c>
      <c r="E13" s="21" t="s">
        <v>30</v>
      </c>
      <c r="F13" s="22" t="s">
        <v>33</v>
      </c>
      <c r="G13" s="25">
        <v>409513.09397777548</v>
      </c>
      <c r="H13" s="31">
        <v>50105.709963120797</v>
      </c>
      <c r="I13" s="29">
        <v>45966</v>
      </c>
      <c r="J13" s="30">
        <v>3524.29</v>
      </c>
      <c r="K13" s="24">
        <f t="shared" si="0"/>
        <v>359407</v>
      </c>
      <c r="L13" s="25">
        <f t="shared" si="1"/>
        <v>7.82</v>
      </c>
      <c r="M13" s="26">
        <f t="shared" si="2"/>
        <v>0.12235435374342404</v>
      </c>
      <c r="N13" s="27">
        <f t="shared" si="3"/>
        <v>13</v>
      </c>
      <c r="O13" s="25">
        <f t="shared" si="4"/>
        <v>116.2</v>
      </c>
      <c r="P13" s="210"/>
    </row>
    <row r="14" spans="1:16" x14ac:dyDescent="0.25">
      <c r="A14" s="93" t="s">
        <v>68</v>
      </c>
      <c r="B14" s="211">
        <v>75</v>
      </c>
      <c r="D14" s="211" t="s">
        <v>18</v>
      </c>
      <c r="E14" s="21" t="s">
        <v>30</v>
      </c>
      <c r="F14" s="212" t="s">
        <v>33</v>
      </c>
      <c r="G14" s="24">
        <v>604590.07605102239</v>
      </c>
      <c r="H14" s="24">
        <v>63867.670217654799</v>
      </c>
      <c r="I14" s="29">
        <v>67894</v>
      </c>
      <c r="J14" s="30">
        <v>5520.07</v>
      </c>
      <c r="K14" s="24">
        <f t="shared" si="0"/>
        <v>540722</v>
      </c>
      <c r="L14" s="25">
        <f t="shared" si="1"/>
        <v>7.96</v>
      </c>
      <c r="M14" s="26">
        <f t="shared" si="2"/>
        <v>0.10563797314507177</v>
      </c>
      <c r="N14" s="27">
        <f t="shared" si="3"/>
        <v>12.3</v>
      </c>
      <c r="O14" s="25">
        <f t="shared" si="4"/>
        <v>109.53</v>
      </c>
      <c r="P14" s="143"/>
    </row>
    <row r="15" spans="1:16" x14ac:dyDescent="0.25">
      <c r="A15" s="93" t="s">
        <v>68</v>
      </c>
      <c r="B15" s="22">
        <v>33</v>
      </c>
      <c r="C15" s="22"/>
      <c r="D15" s="21" t="s">
        <v>19</v>
      </c>
      <c r="E15" s="21" t="s">
        <v>30</v>
      </c>
      <c r="F15" s="22" t="s">
        <v>33</v>
      </c>
      <c r="G15" s="25">
        <v>113621.56587599275</v>
      </c>
      <c r="H15" s="31">
        <v>17656.588803785391</v>
      </c>
      <c r="I15" s="29">
        <v>11997</v>
      </c>
      <c r="J15" s="30">
        <v>898.15</v>
      </c>
      <c r="K15" s="24">
        <f t="shared" si="0"/>
        <v>95965</v>
      </c>
      <c r="L15" s="25">
        <f t="shared" si="1"/>
        <v>8</v>
      </c>
      <c r="M15" s="26">
        <f t="shared" si="2"/>
        <v>0.15539821747445284</v>
      </c>
      <c r="N15" s="27">
        <f t="shared" si="3"/>
        <v>13.4</v>
      </c>
      <c r="O15" s="25">
        <f t="shared" si="4"/>
        <v>126.51</v>
      </c>
      <c r="P15" s="210"/>
    </row>
    <row r="16" spans="1:16" x14ac:dyDescent="0.25">
      <c r="A16" s="93" t="s">
        <v>67</v>
      </c>
      <c r="B16" s="22">
        <v>18</v>
      </c>
      <c r="D16" s="22" t="s">
        <v>18</v>
      </c>
      <c r="E16" s="21" t="s">
        <v>30</v>
      </c>
      <c r="F16" s="22" t="s">
        <v>33</v>
      </c>
      <c r="G16" s="25">
        <v>11282415.939044859</v>
      </c>
      <c r="H16" s="25">
        <v>1229252.1702713661</v>
      </c>
      <c r="I16" s="29">
        <v>1242657.6915457335</v>
      </c>
      <c r="J16" s="30">
        <v>40074.219999999958</v>
      </c>
      <c r="K16" s="24">
        <f t="shared" si="0"/>
        <v>10053164</v>
      </c>
      <c r="L16" s="25">
        <f t="shared" si="1"/>
        <v>8.09</v>
      </c>
      <c r="M16" s="26">
        <f t="shared" si="2"/>
        <v>0.10895292080283218</v>
      </c>
      <c r="N16" s="27">
        <f t="shared" si="3"/>
        <v>31</v>
      </c>
      <c r="O16" s="25">
        <f t="shared" si="4"/>
        <v>281.54000000000002</v>
      </c>
      <c r="P16" s="143"/>
    </row>
    <row r="17" spans="1:16" x14ac:dyDescent="0.25">
      <c r="A17" s="93" t="s">
        <v>10</v>
      </c>
      <c r="B17" s="22">
        <v>789</v>
      </c>
      <c r="C17" s="22"/>
      <c r="D17" s="21" t="s">
        <v>70</v>
      </c>
      <c r="E17" s="21" t="s">
        <v>30</v>
      </c>
      <c r="F17" s="21" t="s">
        <v>33</v>
      </c>
      <c r="G17" s="31">
        <v>216192.69189917177</v>
      </c>
      <c r="H17" s="31">
        <v>56537.6899875569</v>
      </c>
      <c r="I17" s="213">
        <v>19247</v>
      </c>
      <c r="J17" s="213">
        <v>603.1</v>
      </c>
      <c r="K17" s="24">
        <f t="shared" si="0"/>
        <v>159655</v>
      </c>
      <c r="L17" s="25">
        <f t="shared" si="1"/>
        <v>8.3000000000000007</v>
      </c>
      <c r="M17" s="26">
        <f t="shared" si="2"/>
        <v>0.26151526904491768</v>
      </c>
      <c r="N17" s="27">
        <f t="shared" si="3"/>
        <v>31.9</v>
      </c>
      <c r="O17" s="25">
        <f t="shared" si="4"/>
        <v>358.47</v>
      </c>
      <c r="P17" s="143"/>
    </row>
    <row r="18" spans="1:16" x14ac:dyDescent="0.25">
      <c r="A18" s="93" t="s">
        <v>67</v>
      </c>
      <c r="B18" s="22">
        <v>3</v>
      </c>
      <c r="D18" s="22" t="s">
        <v>18</v>
      </c>
      <c r="E18" s="21" t="s">
        <v>30</v>
      </c>
      <c r="F18" s="22" t="s">
        <v>33</v>
      </c>
      <c r="G18" s="25">
        <v>12098583.532312371</v>
      </c>
      <c r="H18" s="25">
        <v>1482427.0957735269</v>
      </c>
      <c r="I18" s="29">
        <v>1163848.7536206134</v>
      </c>
      <c r="J18" s="30">
        <v>43078.199999999946</v>
      </c>
      <c r="K18" s="24">
        <f t="shared" si="0"/>
        <v>10616156</v>
      </c>
      <c r="L18" s="25">
        <f t="shared" si="1"/>
        <v>9.1199999999999992</v>
      </c>
      <c r="M18" s="26">
        <f t="shared" si="2"/>
        <v>0.12252897967884629</v>
      </c>
      <c r="N18" s="27">
        <f t="shared" si="3"/>
        <v>27</v>
      </c>
      <c r="O18" s="25">
        <f t="shared" si="4"/>
        <v>280.85000000000002</v>
      </c>
      <c r="P18" s="143"/>
    </row>
    <row r="19" spans="1:16" x14ac:dyDescent="0.25">
      <c r="A19" s="93" t="s">
        <v>67</v>
      </c>
      <c r="B19" s="22">
        <v>353</v>
      </c>
      <c r="C19" s="22"/>
      <c r="D19" s="21" t="s">
        <v>70</v>
      </c>
      <c r="E19" s="21" t="s">
        <v>30</v>
      </c>
      <c r="F19" s="22" t="s">
        <v>33</v>
      </c>
      <c r="G19" s="25">
        <v>745910.79147847963</v>
      </c>
      <c r="H19" s="25">
        <v>198555.77081094016</v>
      </c>
      <c r="I19" s="213">
        <v>59755.918593288734</v>
      </c>
      <c r="J19" s="213">
        <v>1698.9800000000034</v>
      </c>
      <c r="K19" s="24">
        <f t="shared" si="0"/>
        <v>547355</v>
      </c>
      <c r="L19" s="25">
        <f t="shared" si="1"/>
        <v>9.16</v>
      </c>
      <c r="M19" s="26">
        <f t="shared" si="2"/>
        <v>0.26619238262712375</v>
      </c>
      <c r="N19" s="27">
        <f t="shared" si="3"/>
        <v>35.200000000000003</v>
      </c>
      <c r="O19" s="25">
        <f t="shared" si="4"/>
        <v>439.03</v>
      </c>
      <c r="P19" s="210"/>
    </row>
    <row r="20" spans="1:16" x14ac:dyDescent="0.25">
      <c r="A20" s="93" t="s">
        <v>67</v>
      </c>
      <c r="B20" s="22">
        <v>10</v>
      </c>
      <c r="D20" s="22" t="s">
        <v>18</v>
      </c>
      <c r="E20" s="21" t="s">
        <v>30</v>
      </c>
      <c r="F20" s="22" t="s">
        <v>33</v>
      </c>
      <c r="G20" s="25">
        <v>10542540.112010803</v>
      </c>
      <c r="H20" s="25">
        <v>963981.325320884</v>
      </c>
      <c r="I20" s="29">
        <v>999920.49610112363</v>
      </c>
      <c r="J20" s="30">
        <v>37375.899999999951</v>
      </c>
      <c r="K20" s="24">
        <f t="shared" si="0"/>
        <v>9578559</v>
      </c>
      <c r="L20" s="25">
        <f t="shared" si="1"/>
        <v>9.58</v>
      </c>
      <c r="M20" s="26">
        <f t="shared" si="2"/>
        <v>9.1437292633361547E-2</v>
      </c>
      <c r="N20" s="27">
        <f t="shared" si="3"/>
        <v>26.8</v>
      </c>
      <c r="O20" s="25">
        <f t="shared" si="4"/>
        <v>282.07</v>
      </c>
      <c r="P20" s="143"/>
    </row>
    <row r="21" spans="1:16" x14ac:dyDescent="0.25">
      <c r="A21" s="93" t="s">
        <v>10</v>
      </c>
      <c r="B21" s="22">
        <v>781</v>
      </c>
      <c r="C21" s="22"/>
      <c r="D21" s="21" t="s">
        <v>70</v>
      </c>
      <c r="E21" s="21" t="s">
        <v>30</v>
      </c>
      <c r="F21" s="22" t="s">
        <v>33</v>
      </c>
      <c r="G21" s="31">
        <v>1340045.3628075155</v>
      </c>
      <c r="H21" s="31">
        <v>313003.250201285</v>
      </c>
      <c r="I21" s="213">
        <v>106555</v>
      </c>
      <c r="J21" s="213">
        <v>4347.0999999999995</v>
      </c>
      <c r="K21" s="24">
        <f t="shared" si="0"/>
        <v>1027042</v>
      </c>
      <c r="L21" s="25">
        <f t="shared" si="1"/>
        <v>9.64</v>
      </c>
      <c r="M21" s="26">
        <f t="shared" si="2"/>
        <v>0.23357660784371884</v>
      </c>
      <c r="N21" s="27">
        <f t="shared" si="3"/>
        <v>24.5</v>
      </c>
      <c r="O21" s="25">
        <f t="shared" si="4"/>
        <v>308.26</v>
      </c>
      <c r="P21" s="143"/>
    </row>
    <row r="22" spans="1:16" x14ac:dyDescent="0.25">
      <c r="A22" s="93" t="s">
        <v>68</v>
      </c>
      <c r="B22" s="22">
        <v>83</v>
      </c>
      <c r="C22" s="22"/>
      <c r="D22" s="21" t="s">
        <v>19</v>
      </c>
      <c r="E22" s="21" t="s">
        <v>30</v>
      </c>
      <c r="F22" s="22" t="s">
        <v>33</v>
      </c>
      <c r="G22" s="25">
        <v>673625.50153912418</v>
      </c>
      <c r="H22" s="31">
        <v>79325.875335234741</v>
      </c>
      <c r="I22" s="29">
        <v>60333</v>
      </c>
      <c r="J22" s="30">
        <v>6306.71</v>
      </c>
      <c r="K22" s="24">
        <f t="shared" si="0"/>
        <v>594300</v>
      </c>
      <c r="L22" s="25">
        <f t="shared" si="1"/>
        <v>9.85</v>
      </c>
      <c r="M22" s="26">
        <f t="shared" si="2"/>
        <v>0.11775960849758223</v>
      </c>
      <c r="N22" s="27">
        <f t="shared" si="3"/>
        <v>9.6</v>
      </c>
      <c r="O22" s="25">
        <f t="shared" si="4"/>
        <v>106.81</v>
      </c>
      <c r="P22" s="143"/>
    </row>
    <row r="23" spans="1:16" x14ac:dyDescent="0.25">
      <c r="A23" s="93" t="s">
        <v>67</v>
      </c>
      <c r="B23" s="22">
        <v>54</v>
      </c>
      <c r="D23" s="22" t="s">
        <v>18</v>
      </c>
      <c r="E23" s="21" t="s">
        <v>30</v>
      </c>
      <c r="F23" s="22" t="s">
        <v>33</v>
      </c>
      <c r="G23" s="25">
        <v>9458902.1459128298</v>
      </c>
      <c r="H23" s="25">
        <v>916533.52607568528</v>
      </c>
      <c r="I23" s="29">
        <v>865800.40659867483</v>
      </c>
      <c r="J23" s="30">
        <v>33512.979999999887</v>
      </c>
      <c r="K23" s="24">
        <f t="shared" si="0"/>
        <v>8542369</v>
      </c>
      <c r="L23" s="25">
        <f t="shared" si="1"/>
        <v>9.8699999999999992</v>
      </c>
      <c r="M23" s="26">
        <f t="shared" si="2"/>
        <v>9.6896395790680351E-2</v>
      </c>
      <c r="N23" s="27">
        <f t="shared" si="3"/>
        <v>25.8</v>
      </c>
      <c r="O23" s="25">
        <f t="shared" si="4"/>
        <v>282.25</v>
      </c>
      <c r="P23" s="143"/>
    </row>
    <row r="24" spans="1:16" x14ac:dyDescent="0.25">
      <c r="A24" s="93" t="s">
        <v>67</v>
      </c>
      <c r="B24" s="22">
        <v>270</v>
      </c>
      <c r="C24" s="22"/>
      <c r="D24" s="21" t="s">
        <v>70</v>
      </c>
      <c r="E24" s="21" t="s">
        <v>30</v>
      </c>
      <c r="F24" s="22" t="s">
        <v>33</v>
      </c>
      <c r="G24" s="25">
        <v>536539.94885113556</v>
      </c>
      <c r="H24" s="25">
        <v>148834.86604073038</v>
      </c>
      <c r="I24" s="213">
        <v>37889.373198624351</v>
      </c>
      <c r="J24" s="213">
        <v>1263.7199999999966</v>
      </c>
      <c r="K24" s="24">
        <f t="shared" si="0"/>
        <v>387705</v>
      </c>
      <c r="L24" s="25">
        <f t="shared" si="1"/>
        <v>10.23</v>
      </c>
      <c r="M24" s="26">
        <f t="shared" si="2"/>
        <v>0.27739754767454422</v>
      </c>
      <c r="N24" s="27">
        <f t="shared" si="3"/>
        <v>30</v>
      </c>
      <c r="O24" s="25">
        <f t="shared" si="4"/>
        <v>424.57</v>
      </c>
      <c r="P24" s="143"/>
    </row>
    <row r="25" spans="1:16" x14ac:dyDescent="0.25">
      <c r="A25" s="93" t="s">
        <v>67</v>
      </c>
      <c r="B25" s="22">
        <v>768</v>
      </c>
      <c r="C25" s="22"/>
      <c r="D25" s="21" t="s">
        <v>70</v>
      </c>
      <c r="E25" s="21" t="s">
        <v>30</v>
      </c>
      <c r="F25" s="21" t="s">
        <v>33</v>
      </c>
      <c r="G25" s="25">
        <v>834923.39765234222</v>
      </c>
      <c r="H25" s="25">
        <v>227602.69642550431</v>
      </c>
      <c r="I25" s="213">
        <v>57403.848304552448</v>
      </c>
      <c r="J25" s="213">
        <v>1679.5299999999918</v>
      </c>
      <c r="K25" s="24">
        <f t="shared" si="0"/>
        <v>607321</v>
      </c>
      <c r="L25" s="25">
        <f t="shared" si="1"/>
        <v>10.58</v>
      </c>
      <c r="M25" s="26">
        <f t="shared" si="2"/>
        <v>0.27260308797846972</v>
      </c>
      <c r="N25" s="27">
        <f t="shared" si="3"/>
        <v>34.200000000000003</v>
      </c>
      <c r="O25" s="25">
        <f t="shared" si="4"/>
        <v>497.12</v>
      </c>
      <c r="P25" s="143"/>
    </row>
    <row r="26" spans="1:16" x14ac:dyDescent="0.25">
      <c r="A26" s="93" t="s">
        <v>67</v>
      </c>
      <c r="B26" s="22">
        <v>32</v>
      </c>
      <c r="C26" s="22"/>
      <c r="D26" s="21" t="s">
        <v>19</v>
      </c>
      <c r="E26" s="21" t="s">
        <v>30</v>
      </c>
      <c r="F26" s="22" t="s">
        <v>33</v>
      </c>
      <c r="G26" s="25">
        <v>2899631.9689367986</v>
      </c>
      <c r="H26" s="25">
        <v>119857.4070397921</v>
      </c>
      <c r="I26" s="29">
        <v>261497.50806646119</v>
      </c>
      <c r="J26" s="30">
        <v>9189.260000000013</v>
      </c>
      <c r="K26" s="24">
        <f t="shared" si="0"/>
        <v>2779775</v>
      </c>
      <c r="L26" s="25">
        <f t="shared" si="1"/>
        <v>10.63</v>
      </c>
      <c r="M26" s="26">
        <f t="shared" si="2"/>
        <v>4.1335386119273593E-2</v>
      </c>
      <c r="N26" s="27">
        <f t="shared" si="3"/>
        <v>28.5</v>
      </c>
      <c r="O26" s="25">
        <f t="shared" si="4"/>
        <v>315.55</v>
      </c>
      <c r="P26" s="143"/>
    </row>
    <row r="27" spans="1:16" x14ac:dyDescent="0.25">
      <c r="A27" s="93" t="s">
        <v>68</v>
      </c>
      <c r="B27" s="21">
        <v>540</v>
      </c>
      <c r="D27" s="21" t="s">
        <v>20</v>
      </c>
      <c r="E27" s="21" t="s">
        <v>30</v>
      </c>
      <c r="F27" s="21" t="s">
        <v>33</v>
      </c>
      <c r="G27" s="24">
        <v>1196283.9292857379</v>
      </c>
      <c r="H27" s="24">
        <v>115931.82550986993</v>
      </c>
      <c r="I27" s="28">
        <v>101197</v>
      </c>
      <c r="J27" s="28">
        <v>8372.6</v>
      </c>
      <c r="K27" s="24">
        <f t="shared" si="0"/>
        <v>1080352</v>
      </c>
      <c r="L27" s="25">
        <f t="shared" si="1"/>
        <v>10.68</v>
      </c>
      <c r="M27" s="26">
        <f t="shared" si="2"/>
        <v>9.6909958139359972E-2</v>
      </c>
      <c r="N27" s="27">
        <f t="shared" si="3"/>
        <v>12.1</v>
      </c>
      <c r="O27" s="25">
        <f t="shared" si="4"/>
        <v>142.88</v>
      </c>
      <c r="P27" s="143"/>
    </row>
    <row r="28" spans="1:16" x14ac:dyDescent="0.25">
      <c r="A28" s="93" t="s">
        <v>67</v>
      </c>
      <c r="B28" s="22">
        <v>17</v>
      </c>
      <c r="D28" s="22" t="s">
        <v>18</v>
      </c>
      <c r="E28" s="21" t="s">
        <v>30</v>
      </c>
      <c r="F28" s="22" t="s">
        <v>33</v>
      </c>
      <c r="G28" s="25">
        <v>9629775.6550473385</v>
      </c>
      <c r="H28" s="25">
        <v>871082.01163496205</v>
      </c>
      <c r="I28" s="29">
        <v>817857.96415443765</v>
      </c>
      <c r="J28" s="30">
        <v>33603.35000000018</v>
      </c>
      <c r="K28" s="24">
        <f t="shared" si="0"/>
        <v>8758694</v>
      </c>
      <c r="L28" s="25">
        <f t="shared" si="1"/>
        <v>10.71</v>
      </c>
      <c r="M28" s="26">
        <f t="shared" si="2"/>
        <v>9.0457144884615689E-2</v>
      </c>
      <c r="N28" s="27">
        <f t="shared" si="3"/>
        <v>24.3</v>
      </c>
      <c r="O28" s="25">
        <f t="shared" si="4"/>
        <v>286.57</v>
      </c>
      <c r="P28" s="143"/>
    </row>
    <row r="29" spans="1:16" x14ac:dyDescent="0.25">
      <c r="A29" s="93" t="s">
        <v>67</v>
      </c>
      <c r="B29" s="22">
        <v>63</v>
      </c>
      <c r="D29" s="22" t="s">
        <v>18</v>
      </c>
      <c r="E29" s="21" t="s">
        <v>30</v>
      </c>
      <c r="F29" s="22" t="s">
        <v>33</v>
      </c>
      <c r="G29" s="25">
        <v>8811395.3801226933</v>
      </c>
      <c r="H29" s="25">
        <v>822437.90340048296</v>
      </c>
      <c r="I29" s="29">
        <v>736734.45573260693</v>
      </c>
      <c r="J29" s="30">
        <v>31357.210000000097</v>
      </c>
      <c r="K29" s="24">
        <f t="shared" si="0"/>
        <v>7988957</v>
      </c>
      <c r="L29" s="25">
        <f t="shared" si="1"/>
        <v>10.84</v>
      </c>
      <c r="M29" s="26">
        <f t="shared" si="2"/>
        <v>9.3337986541358789E-2</v>
      </c>
      <c r="N29" s="27">
        <f t="shared" si="3"/>
        <v>23.5</v>
      </c>
      <c r="O29" s="25">
        <f t="shared" si="4"/>
        <v>281</v>
      </c>
      <c r="P29" s="143"/>
    </row>
    <row r="30" spans="1:16" x14ac:dyDescent="0.25">
      <c r="A30" s="93" t="s">
        <v>68</v>
      </c>
      <c r="B30" s="21">
        <v>538</v>
      </c>
      <c r="D30" s="21" t="s">
        <v>20</v>
      </c>
      <c r="E30" s="21" t="s">
        <v>30</v>
      </c>
      <c r="F30" s="22" t="s">
        <v>33</v>
      </c>
      <c r="G30" s="24">
        <v>728123.33266103303</v>
      </c>
      <c r="H30" s="24">
        <v>65560.421657963278</v>
      </c>
      <c r="I30" s="28">
        <v>60358</v>
      </c>
      <c r="J30" s="32">
        <v>6970.1500000000005</v>
      </c>
      <c r="K30" s="24">
        <f t="shared" si="0"/>
        <v>662563</v>
      </c>
      <c r="L30" s="25">
        <f t="shared" si="1"/>
        <v>10.98</v>
      </c>
      <c r="M30" s="26">
        <f t="shared" si="2"/>
        <v>9.0040270263504876E-2</v>
      </c>
      <c r="N30" s="27">
        <f t="shared" si="3"/>
        <v>8.6999999999999993</v>
      </c>
      <c r="O30" s="25">
        <f t="shared" si="4"/>
        <v>104.46</v>
      </c>
      <c r="P30" s="143"/>
    </row>
    <row r="31" spans="1:16" x14ac:dyDescent="0.25">
      <c r="A31" s="93" t="s">
        <v>68</v>
      </c>
      <c r="B31" s="211">
        <v>67</v>
      </c>
      <c r="D31" s="211" t="s">
        <v>18</v>
      </c>
      <c r="E31" s="21" t="s">
        <v>30</v>
      </c>
      <c r="F31" s="212" t="s">
        <v>33</v>
      </c>
      <c r="G31" s="214">
        <v>997829.27222063602</v>
      </c>
      <c r="H31" s="24">
        <v>93727.935133503663</v>
      </c>
      <c r="I31" s="29">
        <v>81918</v>
      </c>
      <c r="J31" s="30">
        <v>9293.58</v>
      </c>
      <c r="K31" s="24">
        <f t="shared" si="0"/>
        <v>904101</v>
      </c>
      <c r="L31" s="25">
        <f t="shared" si="1"/>
        <v>11.04</v>
      </c>
      <c r="M31" s="26">
        <f t="shared" si="2"/>
        <v>9.3931835578360254E-2</v>
      </c>
      <c r="N31" s="27">
        <f t="shared" si="3"/>
        <v>8.8000000000000007</v>
      </c>
      <c r="O31" s="25">
        <f t="shared" si="4"/>
        <v>107.37</v>
      </c>
      <c r="P31" s="143"/>
    </row>
    <row r="32" spans="1:16" x14ac:dyDescent="0.25">
      <c r="A32" s="93" t="s">
        <v>67</v>
      </c>
      <c r="B32" s="22">
        <v>6</v>
      </c>
      <c r="D32" s="22" t="s">
        <v>18</v>
      </c>
      <c r="E32" s="21" t="s">
        <v>30</v>
      </c>
      <c r="F32" s="22" t="s">
        <v>33</v>
      </c>
      <c r="G32" s="25">
        <v>10784955.608333088</v>
      </c>
      <c r="H32" s="25">
        <v>1093396.3886984279</v>
      </c>
      <c r="I32" s="29">
        <v>865306.65933700034</v>
      </c>
      <c r="J32" s="30">
        <v>37674.860000000153</v>
      </c>
      <c r="K32" s="24">
        <f t="shared" si="0"/>
        <v>9691559</v>
      </c>
      <c r="L32" s="25">
        <f t="shared" si="1"/>
        <v>11.2</v>
      </c>
      <c r="M32" s="26">
        <f t="shared" si="2"/>
        <v>0.10138163089457743</v>
      </c>
      <c r="N32" s="27">
        <f t="shared" si="3"/>
        <v>23</v>
      </c>
      <c r="O32" s="25">
        <f t="shared" si="4"/>
        <v>286.26</v>
      </c>
      <c r="P32" s="143"/>
    </row>
    <row r="33" spans="1:16" x14ac:dyDescent="0.25">
      <c r="A33" s="93" t="s">
        <v>67</v>
      </c>
      <c r="B33" s="21">
        <v>250</v>
      </c>
      <c r="D33" s="21" t="s">
        <v>70</v>
      </c>
      <c r="E33" s="21" t="s">
        <v>30</v>
      </c>
      <c r="F33" s="22" t="s">
        <v>33</v>
      </c>
      <c r="G33" s="33">
        <v>1368907.5328224779</v>
      </c>
      <c r="H33" s="33">
        <v>358494.32549590326</v>
      </c>
      <c r="I33" s="34">
        <v>88694.29976750612</v>
      </c>
      <c r="J33" s="34">
        <v>3153.1900000000087</v>
      </c>
      <c r="K33" s="24">
        <f t="shared" si="0"/>
        <v>1010413</v>
      </c>
      <c r="L33" s="25">
        <f t="shared" si="1"/>
        <v>11.39</v>
      </c>
      <c r="M33" s="26">
        <f t="shared" si="2"/>
        <v>0.26188352164060552</v>
      </c>
      <c r="N33" s="27">
        <f t="shared" si="3"/>
        <v>28.1</v>
      </c>
      <c r="O33" s="25">
        <f t="shared" si="4"/>
        <v>434.13</v>
      </c>
      <c r="P33" s="143"/>
    </row>
    <row r="34" spans="1:16" x14ac:dyDescent="0.25">
      <c r="A34" s="93" t="s">
        <v>67</v>
      </c>
      <c r="B34" s="21">
        <v>114</v>
      </c>
      <c r="D34" s="21" t="s">
        <v>70</v>
      </c>
      <c r="E34" s="21" t="s">
        <v>30</v>
      </c>
      <c r="F34" s="22" t="s">
        <v>33</v>
      </c>
      <c r="G34" s="33">
        <v>616240.15985534724</v>
      </c>
      <c r="H34" s="33">
        <v>83078.986048474675</v>
      </c>
      <c r="I34" s="34">
        <v>46721.615881615937</v>
      </c>
      <c r="J34" s="34">
        <v>1456.9599999999973</v>
      </c>
      <c r="K34" s="24">
        <f t="shared" si="0"/>
        <v>533161</v>
      </c>
      <c r="L34" s="25">
        <f t="shared" si="1"/>
        <v>11.41</v>
      </c>
      <c r="M34" s="26">
        <f t="shared" si="2"/>
        <v>0.13481592317510785</v>
      </c>
      <c r="N34" s="27">
        <f t="shared" si="3"/>
        <v>32.1</v>
      </c>
      <c r="O34" s="25">
        <f t="shared" si="4"/>
        <v>422.96</v>
      </c>
      <c r="P34" s="143"/>
    </row>
    <row r="35" spans="1:16" x14ac:dyDescent="0.25">
      <c r="A35" s="93" t="s">
        <v>68</v>
      </c>
      <c r="B35" s="21">
        <v>717</v>
      </c>
      <c r="D35" s="21" t="s">
        <v>20</v>
      </c>
      <c r="E35" s="21" t="s">
        <v>30</v>
      </c>
      <c r="F35" s="21" t="s">
        <v>33</v>
      </c>
      <c r="G35" s="24">
        <v>339564.66225806501</v>
      </c>
      <c r="H35" s="24">
        <v>20726.567756858825</v>
      </c>
      <c r="I35" s="28">
        <v>27526</v>
      </c>
      <c r="J35" s="28">
        <v>3219.0200000000004</v>
      </c>
      <c r="K35" s="24">
        <f t="shared" si="0"/>
        <v>318838</v>
      </c>
      <c r="L35" s="25">
        <f t="shared" si="1"/>
        <v>11.58</v>
      </c>
      <c r="M35" s="26">
        <f t="shared" si="2"/>
        <v>6.1038647599634163E-2</v>
      </c>
      <c r="N35" s="27">
        <f t="shared" si="3"/>
        <v>8.6</v>
      </c>
      <c r="O35" s="25">
        <f t="shared" si="4"/>
        <v>105.49</v>
      </c>
      <c r="P35" s="143"/>
    </row>
    <row r="36" spans="1:16" x14ac:dyDescent="0.25">
      <c r="A36" s="93" t="s">
        <v>67</v>
      </c>
      <c r="B36" s="22">
        <v>4</v>
      </c>
      <c r="D36" s="22" t="s">
        <v>18</v>
      </c>
      <c r="E36" s="21" t="s">
        <v>30</v>
      </c>
      <c r="F36" s="22" t="s">
        <v>33</v>
      </c>
      <c r="G36" s="25">
        <v>9479698.0261487421</v>
      </c>
      <c r="H36" s="25">
        <v>1001307.0066419124</v>
      </c>
      <c r="I36" s="29">
        <v>730516.78188253299</v>
      </c>
      <c r="J36" s="30">
        <v>33930.989999999947</v>
      </c>
      <c r="K36" s="24">
        <f t="shared" si="0"/>
        <v>8478391</v>
      </c>
      <c r="L36" s="25">
        <f t="shared" si="1"/>
        <v>11.61</v>
      </c>
      <c r="M36" s="26">
        <f t="shared" si="2"/>
        <v>0.10562646656886254</v>
      </c>
      <c r="N36" s="27">
        <f t="shared" si="3"/>
        <v>21.5</v>
      </c>
      <c r="O36" s="25">
        <f t="shared" si="4"/>
        <v>279.38</v>
      </c>
      <c r="P36" s="143"/>
    </row>
    <row r="37" spans="1:16" x14ac:dyDescent="0.25">
      <c r="A37" s="93" t="s">
        <v>67</v>
      </c>
      <c r="B37" s="22">
        <v>64</v>
      </c>
      <c r="D37" s="22" t="s">
        <v>18</v>
      </c>
      <c r="E37" s="21" t="s">
        <v>30</v>
      </c>
      <c r="F37" s="22" t="s">
        <v>33</v>
      </c>
      <c r="G37" s="25">
        <v>8151625.2837574957</v>
      </c>
      <c r="H37" s="25">
        <v>655099.63911717979</v>
      </c>
      <c r="I37" s="29">
        <v>644714.13274458051</v>
      </c>
      <c r="J37" s="30">
        <v>28030.200000000092</v>
      </c>
      <c r="K37" s="24">
        <f t="shared" si="0"/>
        <v>7496526</v>
      </c>
      <c r="L37" s="25">
        <f t="shared" si="1"/>
        <v>11.63</v>
      </c>
      <c r="M37" s="26">
        <f t="shared" si="2"/>
        <v>8.0364297463782736E-2</v>
      </c>
      <c r="N37" s="27">
        <f t="shared" si="3"/>
        <v>23</v>
      </c>
      <c r="O37" s="25">
        <f t="shared" si="4"/>
        <v>290.82</v>
      </c>
      <c r="P37" s="210"/>
    </row>
    <row r="38" spans="1:16" x14ac:dyDescent="0.25">
      <c r="A38" s="93" t="s">
        <v>67</v>
      </c>
      <c r="B38" s="22">
        <v>11</v>
      </c>
      <c r="D38" s="22" t="s">
        <v>18</v>
      </c>
      <c r="E38" s="21" t="s">
        <v>30</v>
      </c>
      <c r="F38" s="22" t="s">
        <v>33</v>
      </c>
      <c r="G38" s="25">
        <v>9164293.1493744086</v>
      </c>
      <c r="H38" s="25">
        <v>824010.91137505113</v>
      </c>
      <c r="I38" s="29">
        <v>711845.01043629833</v>
      </c>
      <c r="J38" s="30">
        <v>32160.679999999884</v>
      </c>
      <c r="K38" s="24">
        <f t="shared" si="0"/>
        <v>8340282</v>
      </c>
      <c r="L38" s="25">
        <f t="shared" si="1"/>
        <v>11.72</v>
      </c>
      <c r="M38" s="26">
        <f t="shared" si="2"/>
        <v>8.9915381136765726E-2</v>
      </c>
      <c r="N38" s="27">
        <f t="shared" si="3"/>
        <v>22.1</v>
      </c>
      <c r="O38" s="25">
        <f t="shared" si="4"/>
        <v>284.95</v>
      </c>
      <c r="P38" s="143"/>
    </row>
    <row r="39" spans="1:16" x14ac:dyDescent="0.25">
      <c r="A39" s="93" t="s">
        <v>67</v>
      </c>
      <c r="B39" s="22">
        <v>673</v>
      </c>
      <c r="C39" s="22"/>
      <c r="D39" s="21" t="s">
        <v>70</v>
      </c>
      <c r="E39" s="21" t="s">
        <v>30</v>
      </c>
      <c r="F39" s="21" t="s">
        <v>33</v>
      </c>
      <c r="G39" s="25">
        <v>253564.16771672695</v>
      </c>
      <c r="H39" s="25">
        <v>65440.281748845475</v>
      </c>
      <c r="I39" s="213">
        <v>16009.286212395053</v>
      </c>
      <c r="J39" s="213">
        <v>690.69000000000244</v>
      </c>
      <c r="K39" s="24">
        <f t="shared" si="0"/>
        <v>188124</v>
      </c>
      <c r="L39" s="25">
        <f t="shared" si="1"/>
        <v>11.75</v>
      </c>
      <c r="M39" s="26">
        <f t="shared" si="2"/>
        <v>0.25808174056341066</v>
      </c>
      <c r="N39" s="27">
        <f t="shared" si="3"/>
        <v>23.2</v>
      </c>
      <c r="O39" s="25">
        <f t="shared" si="4"/>
        <v>367.12</v>
      </c>
      <c r="P39" s="143"/>
    </row>
    <row r="40" spans="1:16" x14ac:dyDescent="0.25">
      <c r="A40" s="93" t="s">
        <v>67</v>
      </c>
      <c r="B40" s="22">
        <v>764</v>
      </c>
      <c r="C40" s="22"/>
      <c r="D40" s="21" t="s">
        <v>70</v>
      </c>
      <c r="E40" s="21" t="s">
        <v>30</v>
      </c>
      <c r="F40" s="21" t="s">
        <v>33</v>
      </c>
      <c r="G40" s="25">
        <v>133829.80767032091</v>
      </c>
      <c r="H40" s="25">
        <v>30454.024693793421</v>
      </c>
      <c r="I40" s="213">
        <v>8661.4102970957683</v>
      </c>
      <c r="J40" s="213">
        <v>371.91000000000196</v>
      </c>
      <c r="K40" s="24">
        <f t="shared" si="0"/>
        <v>103376</v>
      </c>
      <c r="L40" s="25">
        <f t="shared" si="1"/>
        <v>11.94</v>
      </c>
      <c r="M40" s="26">
        <f t="shared" si="2"/>
        <v>0.22755786041936554</v>
      </c>
      <c r="N40" s="27">
        <f t="shared" si="3"/>
        <v>23.3</v>
      </c>
      <c r="O40" s="25">
        <f t="shared" si="4"/>
        <v>359.84</v>
      </c>
      <c r="P40" s="143"/>
    </row>
    <row r="41" spans="1:16" x14ac:dyDescent="0.25">
      <c r="A41" s="93" t="s">
        <v>68</v>
      </c>
      <c r="B41" s="21">
        <v>801</v>
      </c>
      <c r="D41" s="21" t="s">
        <v>20</v>
      </c>
      <c r="E41" s="21" t="s">
        <v>30</v>
      </c>
      <c r="F41" s="21" t="s">
        <v>33</v>
      </c>
      <c r="G41" s="24">
        <v>523632.65969674452</v>
      </c>
      <c r="H41" s="24">
        <v>44136.119232696015</v>
      </c>
      <c r="I41" s="28">
        <v>40152</v>
      </c>
      <c r="J41" s="28">
        <v>4616.13</v>
      </c>
      <c r="K41" s="24">
        <f t="shared" si="0"/>
        <v>479497</v>
      </c>
      <c r="L41" s="25">
        <f t="shared" si="1"/>
        <v>11.94</v>
      </c>
      <c r="M41" s="26">
        <f t="shared" si="2"/>
        <v>8.4288323914434429E-2</v>
      </c>
      <c r="N41" s="27">
        <f t="shared" si="3"/>
        <v>8.6999999999999993</v>
      </c>
      <c r="O41" s="25">
        <f t="shared" si="4"/>
        <v>113.44</v>
      </c>
      <c r="P41" s="143"/>
    </row>
    <row r="42" spans="1:16" x14ac:dyDescent="0.25">
      <c r="A42" s="93" t="s">
        <v>68</v>
      </c>
      <c r="B42" s="22">
        <v>852</v>
      </c>
      <c r="C42" s="22"/>
      <c r="D42" s="21" t="s">
        <v>70</v>
      </c>
      <c r="E42" s="21" t="s">
        <v>30</v>
      </c>
      <c r="F42" s="21" t="s">
        <v>33</v>
      </c>
      <c r="G42" s="31">
        <v>819379.08338850434</v>
      </c>
      <c r="H42" s="31">
        <v>92287.63334407669</v>
      </c>
      <c r="I42" s="213">
        <v>60045</v>
      </c>
      <c r="J42" s="213">
        <v>7875.8899999999994</v>
      </c>
      <c r="K42" s="24">
        <f t="shared" si="0"/>
        <v>727091</v>
      </c>
      <c r="L42" s="25">
        <f t="shared" si="1"/>
        <v>12.11</v>
      </c>
      <c r="M42" s="26">
        <f t="shared" si="2"/>
        <v>0.11263118038408479</v>
      </c>
      <c r="N42" s="27">
        <f t="shared" si="3"/>
        <v>7.6</v>
      </c>
      <c r="O42" s="25">
        <f t="shared" si="4"/>
        <v>104.04</v>
      </c>
      <c r="P42" s="143"/>
    </row>
    <row r="43" spans="1:16" x14ac:dyDescent="0.25">
      <c r="A43" s="93" t="s">
        <v>68</v>
      </c>
      <c r="B43" s="21">
        <v>546</v>
      </c>
      <c r="D43" s="21" t="s">
        <v>20</v>
      </c>
      <c r="E43" s="21" t="s">
        <v>30</v>
      </c>
      <c r="F43" s="22" t="s">
        <v>33</v>
      </c>
      <c r="G43" s="24">
        <v>412603.22184125206</v>
      </c>
      <c r="H43" s="24">
        <v>36640.179283330472</v>
      </c>
      <c r="I43" s="28">
        <v>30752</v>
      </c>
      <c r="J43" s="32">
        <v>3180.21</v>
      </c>
      <c r="K43" s="24">
        <f t="shared" si="0"/>
        <v>375963</v>
      </c>
      <c r="L43" s="25">
        <f t="shared" si="1"/>
        <v>12.23</v>
      </c>
      <c r="M43" s="26">
        <f t="shared" si="2"/>
        <v>8.8802455588743986E-2</v>
      </c>
      <c r="N43" s="27">
        <f t="shared" si="3"/>
        <v>9.6999999999999993</v>
      </c>
      <c r="O43" s="25">
        <f t="shared" si="4"/>
        <v>129.74</v>
      </c>
      <c r="P43" s="143"/>
    </row>
    <row r="44" spans="1:16" x14ac:dyDescent="0.25">
      <c r="A44" s="93" t="s">
        <v>67</v>
      </c>
      <c r="B44" s="22">
        <v>14</v>
      </c>
      <c r="D44" s="22" t="s">
        <v>18</v>
      </c>
      <c r="E44" s="21" t="s">
        <v>30</v>
      </c>
      <c r="F44" s="22" t="s">
        <v>33</v>
      </c>
      <c r="G44" s="25">
        <v>9018299.8313540593</v>
      </c>
      <c r="H44" s="25">
        <v>750457.932205647</v>
      </c>
      <c r="I44" s="29">
        <v>675184.79708741221</v>
      </c>
      <c r="J44" s="30">
        <v>32844.849999999933</v>
      </c>
      <c r="K44" s="24">
        <f t="shared" si="0"/>
        <v>8267842</v>
      </c>
      <c r="L44" s="25">
        <f t="shared" si="1"/>
        <v>12.25</v>
      </c>
      <c r="M44" s="26">
        <f t="shared" si="2"/>
        <v>8.3215012390308707E-2</v>
      </c>
      <c r="N44" s="27">
        <f t="shared" si="3"/>
        <v>20.6</v>
      </c>
      <c r="O44" s="25">
        <f t="shared" si="4"/>
        <v>274.57</v>
      </c>
      <c r="P44" s="143"/>
    </row>
    <row r="45" spans="1:16" x14ac:dyDescent="0.25">
      <c r="A45" s="93" t="s">
        <v>67</v>
      </c>
      <c r="B45" s="22">
        <v>74</v>
      </c>
      <c r="D45" s="22" t="s">
        <v>18</v>
      </c>
      <c r="E45" s="21" t="s">
        <v>30</v>
      </c>
      <c r="F45" s="22" t="s">
        <v>33</v>
      </c>
      <c r="G45" s="25">
        <v>7865220.2619722076</v>
      </c>
      <c r="H45" s="25">
        <v>695311.3754593638</v>
      </c>
      <c r="I45" s="29">
        <v>584358.21747887717</v>
      </c>
      <c r="J45" s="30">
        <v>28134.029999999908</v>
      </c>
      <c r="K45" s="24">
        <f t="shared" si="0"/>
        <v>7169909</v>
      </c>
      <c r="L45" s="25">
        <f t="shared" si="1"/>
        <v>12.27</v>
      </c>
      <c r="M45" s="26">
        <f t="shared" si="2"/>
        <v>8.8403293525185292E-2</v>
      </c>
      <c r="N45" s="27">
        <f t="shared" si="3"/>
        <v>20.8</v>
      </c>
      <c r="O45" s="25">
        <f t="shared" si="4"/>
        <v>279.56</v>
      </c>
      <c r="P45" s="210"/>
    </row>
    <row r="46" spans="1:16" x14ac:dyDescent="0.25">
      <c r="A46" s="93" t="s">
        <v>67</v>
      </c>
      <c r="B46" s="22">
        <v>515</v>
      </c>
      <c r="C46" s="22"/>
      <c r="D46" s="21" t="s">
        <v>20</v>
      </c>
      <c r="E46" s="21" t="s">
        <v>30</v>
      </c>
      <c r="F46" s="21" t="s">
        <v>33</v>
      </c>
      <c r="G46" s="25">
        <v>3425736.54508554</v>
      </c>
      <c r="H46" s="25">
        <v>254842.58307163796</v>
      </c>
      <c r="I46" s="29">
        <v>258033.98560851245</v>
      </c>
      <c r="J46" s="29">
        <v>10229.72000000001</v>
      </c>
      <c r="K46" s="24">
        <f t="shared" si="0"/>
        <v>3170894</v>
      </c>
      <c r="L46" s="25">
        <f t="shared" si="1"/>
        <v>12.29</v>
      </c>
      <c r="M46" s="26">
        <f t="shared" si="2"/>
        <v>7.4390595925196742E-2</v>
      </c>
      <c r="N46" s="27">
        <f t="shared" si="3"/>
        <v>25.2</v>
      </c>
      <c r="O46" s="25">
        <f t="shared" si="4"/>
        <v>334.88</v>
      </c>
      <c r="P46" s="210"/>
    </row>
    <row r="47" spans="1:16" x14ac:dyDescent="0.25">
      <c r="A47" s="93" t="s">
        <v>67</v>
      </c>
      <c r="B47" s="21">
        <v>94</v>
      </c>
      <c r="D47" s="21" t="s">
        <v>70</v>
      </c>
      <c r="E47" s="21" t="s">
        <v>30</v>
      </c>
      <c r="F47" s="22" t="s">
        <v>33</v>
      </c>
      <c r="G47" s="33">
        <v>2547468.2942574434</v>
      </c>
      <c r="H47" s="33">
        <v>270268.0020975598</v>
      </c>
      <c r="I47" s="34">
        <v>182120.86495650426</v>
      </c>
      <c r="J47" s="34">
        <v>8179.7199999999639</v>
      </c>
      <c r="K47" s="24">
        <f t="shared" si="0"/>
        <v>2277200</v>
      </c>
      <c r="L47" s="25">
        <f t="shared" si="1"/>
        <v>12.5</v>
      </c>
      <c r="M47" s="26">
        <f t="shared" si="2"/>
        <v>0.10609278345359729</v>
      </c>
      <c r="N47" s="27">
        <f t="shared" si="3"/>
        <v>22.3</v>
      </c>
      <c r="O47" s="25">
        <f t="shared" si="4"/>
        <v>311.44</v>
      </c>
      <c r="P47" s="143"/>
    </row>
    <row r="48" spans="1:16" x14ac:dyDescent="0.25">
      <c r="A48" s="93" t="s">
        <v>67</v>
      </c>
      <c r="B48" s="22">
        <v>62</v>
      </c>
      <c r="D48" s="22" t="s">
        <v>18</v>
      </c>
      <c r="E48" s="21" t="s">
        <v>30</v>
      </c>
      <c r="F48" s="22" t="s">
        <v>33</v>
      </c>
      <c r="G48" s="25">
        <v>5267891.7652610932</v>
      </c>
      <c r="H48" s="25">
        <v>188054.39292033479</v>
      </c>
      <c r="I48" s="29">
        <v>406182.12231132085</v>
      </c>
      <c r="J48" s="30">
        <v>18302.229999999978</v>
      </c>
      <c r="K48" s="24">
        <f t="shared" si="0"/>
        <v>5079837</v>
      </c>
      <c r="L48" s="25">
        <f t="shared" si="1"/>
        <v>12.51</v>
      </c>
      <c r="M48" s="26">
        <f t="shared" si="2"/>
        <v>3.5698226406330545E-2</v>
      </c>
      <c r="N48" s="27">
        <f t="shared" si="3"/>
        <v>22.2</v>
      </c>
      <c r="O48" s="25">
        <f t="shared" si="4"/>
        <v>287.83</v>
      </c>
      <c r="P48" s="143"/>
    </row>
    <row r="49" spans="1:16" x14ac:dyDescent="0.25">
      <c r="A49" s="93" t="s">
        <v>67</v>
      </c>
      <c r="B49" s="21">
        <v>724</v>
      </c>
      <c r="D49" s="21" t="s">
        <v>20</v>
      </c>
      <c r="E49" s="21" t="s">
        <v>30</v>
      </c>
      <c r="F49" s="21" t="s">
        <v>33</v>
      </c>
      <c r="G49" s="25">
        <v>2855457.3601396275</v>
      </c>
      <c r="H49" s="25">
        <v>204474.32629186896</v>
      </c>
      <c r="I49" s="34">
        <v>211172.78716768901</v>
      </c>
      <c r="J49" s="34">
        <v>8341.8300000000017</v>
      </c>
      <c r="K49" s="24">
        <f t="shared" si="0"/>
        <v>2650983</v>
      </c>
      <c r="L49" s="25">
        <f t="shared" si="1"/>
        <v>12.55</v>
      </c>
      <c r="M49" s="26">
        <f t="shared" si="2"/>
        <v>7.160825762842786E-2</v>
      </c>
      <c r="N49" s="27">
        <f t="shared" si="3"/>
        <v>25.3</v>
      </c>
      <c r="O49" s="25">
        <f t="shared" si="4"/>
        <v>342.31</v>
      </c>
      <c r="P49" s="143"/>
    </row>
    <row r="50" spans="1:16" x14ac:dyDescent="0.25">
      <c r="A50" s="93" t="s">
        <v>68</v>
      </c>
      <c r="B50" s="211">
        <v>70</v>
      </c>
      <c r="D50" s="211" t="s">
        <v>18</v>
      </c>
      <c r="E50" s="21" t="s">
        <v>30</v>
      </c>
      <c r="F50" s="212" t="s">
        <v>33</v>
      </c>
      <c r="G50" s="24">
        <v>392155.04986938363</v>
      </c>
      <c r="H50" s="24">
        <v>30402.286844647162</v>
      </c>
      <c r="I50" s="29">
        <v>28432</v>
      </c>
      <c r="J50" s="30">
        <v>3445.86</v>
      </c>
      <c r="K50" s="24">
        <f t="shared" si="0"/>
        <v>361753</v>
      </c>
      <c r="L50" s="25">
        <f t="shared" si="1"/>
        <v>12.72</v>
      </c>
      <c r="M50" s="26">
        <f t="shared" si="2"/>
        <v>7.7526189844484603E-2</v>
      </c>
      <c r="N50" s="27">
        <f t="shared" si="3"/>
        <v>8.3000000000000007</v>
      </c>
      <c r="O50" s="25">
        <f t="shared" si="4"/>
        <v>113.8</v>
      </c>
      <c r="P50" s="143"/>
    </row>
    <row r="51" spans="1:16" x14ac:dyDescent="0.25">
      <c r="A51" s="93" t="s">
        <v>10</v>
      </c>
      <c r="B51" s="22">
        <v>785</v>
      </c>
      <c r="C51" s="22"/>
      <c r="D51" s="21" t="s">
        <v>70</v>
      </c>
      <c r="E51" s="21" t="s">
        <v>30</v>
      </c>
      <c r="F51" s="21" t="s">
        <v>33</v>
      </c>
      <c r="G51" s="31">
        <v>524567.6968266248</v>
      </c>
      <c r="H51" s="31">
        <v>97013.235804491895</v>
      </c>
      <c r="I51" s="213">
        <v>33026</v>
      </c>
      <c r="J51" s="213">
        <v>1816.8000000000002</v>
      </c>
      <c r="K51" s="24">
        <f t="shared" si="0"/>
        <v>427554</v>
      </c>
      <c r="L51" s="25">
        <f t="shared" si="1"/>
        <v>12.95</v>
      </c>
      <c r="M51" s="26">
        <f t="shared" si="2"/>
        <v>0.18493940132298273</v>
      </c>
      <c r="N51" s="27">
        <f t="shared" si="3"/>
        <v>18.2</v>
      </c>
      <c r="O51" s="25">
        <f t="shared" si="4"/>
        <v>288.73</v>
      </c>
      <c r="P51" s="143"/>
    </row>
    <row r="52" spans="1:16" x14ac:dyDescent="0.25">
      <c r="A52" s="93" t="s">
        <v>67</v>
      </c>
      <c r="B52" s="21">
        <v>904</v>
      </c>
      <c r="C52" s="21" t="s">
        <v>79</v>
      </c>
      <c r="D52" s="21" t="s">
        <v>23</v>
      </c>
      <c r="E52" s="21" t="s">
        <v>30</v>
      </c>
      <c r="F52" s="22" t="s">
        <v>33</v>
      </c>
      <c r="G52" s="207">
        <v>5385436.3191186721</v>
      </c>
      <c r="H52" s="207">
        <v>359929.06696208217</v>
      </c>
      <c r="I52" s="208">
        <v>379118.73073839897</v>
      </c>
      <c r="J52" s="209">
        <v>18238.569999999996</v>
      </c>
      <c r="K52" s="24">
        <f t="shared" si="0"/>
        <v>5025507</v>
      </c>
      <c r="L52" s="25">
        <f t="shared" si="1"/>
        <v>13.26</v>
      </c>
      <c r="M52" s="26">
        <f t="shared" si="2"/>
        <v>6.6833780149680541E-2</v>
      </c>
      <c r="N52" s="27">
        <f t="shared" si="3"/>
        <v>20.8</v>
      </c>
      <c r="O52" s="25">
        <f t="shared" si="4"/>
        <v>295.27999999999997</v>
      </c>
      <c r="P52" s="143"/>
    </row>
    <row r="53" spans="1:16" x14ac:dyDescent="0.25">
      <c r="A53" s="93" t="s">
        <v>67</v>
      </c>
      <c r="B53" s="22">
        <v>850</v>
      </c>
      <c r="C53" s="22"/>
      <c r="D53" s="21" t="s">
        <v>70</v>
      </c>
      <c r="E53" s="21" t="s">
        <v>30</v>
      </c>
      <c r="F53" s="21" t="s">
        <v>33</v>
      </c>
      <c r="G53" s="25">
        <v>1573763.5898506027</v>
      </c>
      <c r="H53" s="25">
        <v>361498.22833286301</v>
      </c>
      <c r="I53" s="213">
        <v>91360.951644904213</v>
      </c>
      <c r="J53" s="213">
        <v>3459.9299999999812</v>
      </c>
      <c r="K53" s="24">
        <f t="shared" si="0"/>
        <v>1212265</v>
      </c>
      <c r="L53" s="25">
        <f t="shared" si="1"/>
        <v>13.27</v>
      </c>
      <c r="M53" s="26">
        <f t="shared" si="2"/>
        <v>0.22970300664230009</v>
      </c>
      <c r="N53" s="27">
        <f t="shared" si="3"/>
        <v>26.4</v>
      </c>
      <c r="O53" s="25">
        <f t="shared" si="4"/>
        <v>454.85</v>
      </c>
      <c r="P53" s="143"/>
    </row>
    <row r="54" spans="1:16" x14ac:dyDescent="0.25">
      <c r="A54" s="93" t="s">
        <v>9</v>
      </c>
      <c r="B54" s="22">
        <v>477</v>
      </c>
      <c r="C54" s="22"/>
      <c r="D54" s="21" t="s">
        <v>70</v>
      </c>
      <c r="E54" s="21" t="s">
        <v>30</v>
      </c>
      <c r="F54" s="21" t="s">
        <v>33</v>
      </c>
      <c r="G54" s="31">
        <v>1852027.4912999999</v>
      </c>
      <c r="H54" s="31">
        <v>276414.90573866043</v>
      </c>
      <c r="I54" s="213">
        <v>117630</v>
      </c>
      <c r="J54" s="213">
        <v>6287.05</v>
      </c>
      <c r="K54" s="24">
        <f t="shared" si="0"/>
        <v>1575613</v>
      </c>
      <c r="L54" s="25">
        <f t="shared" si="1"/>
        <v>13.39</v>
      </c>
      <c r="M54" s="26">
        <f t="shared" si="2"/>
        <v>0.14924989344765913</v>
      </c>
      <c r="N54" s="27">
        <f t="shared" si="3"/>
        <v>18.7</v>
      </c>
      <c r="O54" s="25">
        <f t="shared" si="4"/>
        <v>294.58</v>
      </c>
      <c r="P54" s="143"/>
    </row>
    <row r="55" spans="1:16" x14ac:dyDescent="0.25">
      <c r="A55" s="93" t="s">
        <v>69</v>
      </c>
      <c r="B55" s="22">
        <v>774</v>
      </c>
      <c r="C55" s="22"/>
      <c r="D55" s="21" t="s">
        <v>70</v>
      </c>
      <c r="E55" s="21" t="s">
        <v>30</v>
      </c>
      <c r="F55" s="21" t="s">
        <v>33</v>
      </c>
      <c r="G55" s="31">
        <v>780086</v>
      </c>
      <c r="H55" s="31">
        <v>112690</v>
      </c>
      <c r="I55" s="213">
        <v>49137</v>
      </c>
      <c r="J55" s="213">
        <v>4331.72</v>
      </c>
      <c r="K55" s="24">
        <f t="shared" si="0"/>
        <v>667396</v>
      </c>
      <c r="L55" s="25">
        <f t="shared" si="1"/>
        <v>13.58</v>
      </c>
      <c r="M55" s="26">
        <f t="shared" si="2"/>
        <v>0.14445843150626983</v>
      </c>
      <c r="N55" s="27">
        <f t="shared" si="3"/>
        <v>11.3</v>
      </c>
      <c r="O55" s="25">
        <f t="shared" si="4"/>
        <v>180.09</v>
      </c>
      <c r="P55" s="143"/>
    </row>
    <row r="56" spans="1:16" x14ac:dyDescent="0.25">
      <c r="A56" s="93" t="s">
        <v>68</v>
      </c>
      <c r="B56" s="21">
        <v>716</v>
      </c>
      <c r="D56" s="21" t="s">
        <v>20</v>
      </c>
      <c r="E56" s="21" t="s">
        <v>30</v>
      </c>
      <c r="F56" s="22" t="s">
        <v>33</v>
      </c>
      <c r="G56" s="24">
        <v>318488.76839713589</v>
      </c>
      <c r="H56" s="24">
        <v>23225.753899635267</v>
      </c>
      <c r="I56" s="28">
        <v>21523</v>
      </c>
      <c r="J56" s="32">
        <v>3009.51</v>
      </c>
      <c r="K56" s="24">
        <f t="shared" si="0"/>
        <v>295263</v>
      </c>
      <c r="L56" s="25">
        <f t="shared" si="1"/>
        <v>13.72</v>
      </c>
      <c r="M56" s="26">
        <f t="shared" si="2"/>
        <v>7.2924875864615046E-2</v>
      </c>
      <c r="N56" s="27">
        <f t="shared" si="3"/>
        <v>7.2</v>
      </c>
      <c r="O56" s="25">
        <f t="shared" si="4"/>
        <v>105.83</v>
      </c>
      <c r="P56" s="143"/>
    </row>
    <row r="57" spans="1:16" x14ac:dyDescent="0.25">
      <c r="A57" s="93" t="s">
        <v>67</v>
      </c>
      <c r="B57" s="22">
        <v>61</v>
      </c>
      <c r="D57" s="22" t="s">
        <v>18</v>
      </c>
      <c r="E57" s="21" t="s">
        <v>30</v>
      </c>
      <c r="F57" s="22" t="s">
        <v>33</v>
      </c>
      <c r="G57" s="25">
        <v>5461455.659321106</v>
      </c>
      <c r="H57" s="25">
        <v>502372.99941716134</v>
      </c>
      <c r="I57" s="29">
        <v>359426.13162034779</v>
      </c>
      <c r="J57" s="30">
        <v>19472.830000000027</v>
      </c>
      <c r="K57" s="24">
        <f t="shared" si="0"/>
        <v>4959083</v>
      </c>
      <c r="L57" s="25">
        <f t="shared" si="1"/>
        <v>13.8</v>
      </c>
      <c r="M57" s="26">
        <f t="shared" si="2"/>
        <v>9.1985183210223032E-2</v>
      </c>
      <c r="N57" s="27">
        <f t="shared" si="3"/>
        <v>18.5</v>
      </c>
      <c r="O57" s="25">
        <f t="shared" si="4"/>
        <v>280.47000000000003</v>
      </c>
      <c r="P57" s="143"/>
    </row>
    <row r="58" spans="1:16" x14ac:dyDescent="0.25">
      <c r="A58" s="93" t="s">
        <v>67</v>
      </c>
      <c r="B58" s="21">
        <v>113</v>
      </c>
      <c r="D58" s="21" t="s">
        <v>70</v>
      </c>
      <c r="E58" s="21" t="s">
        <v>30</v>
      </c>
      <c r="F58" s="22" t="s">
        <v>33</v>
      </c>
      <c r="G58" s="33">
        <v>550570.92924631678</v>
      </c>
      <c r="H58" s="33">
        <v>62564.929494735567</v>
      </c>
      <c r="I58" s="34">
        <v>34993.555925512359</v>
      </c>
      <c r="J58" s="34">
        <v>1353.4500000000035</v>
      </c>
      <c r="K58" s="24">
        <f t="shared" si="0"/>
        <v>488006</v>
      </c>
      <c r="L58" s="25">
        <f t="shared" si="1"/>
        <v>13.95</v>
      </c>
      <c r="M58" s="26">
        <f t="shared" si="2"/>
        <v>0.11363645657859461</v>
      </c>
      <c r="N58" s="27">
        <f t="shared" si="3"/>
        <v>25.9</v>
      </c>
      <c r="O58" s="25">
        <f t="shared" si="4"/>
        <v>406.79</v>
      </c>
      <c r="P58" s="143"/>
    </row>
    <row r="59" spans="1:16" x14ac:dyDescent="0.25">
      <c r="A59" s="93" t="s">
        <v>68</v>
      </c>
      <c r="B59" s="21">
        <v>805</v>
      </c>
      <c r="D59" s="21" t="s">
        <v>20</v>
      </c>
      <c r="E59" s="21" t="s">
        <v>30</v>
      </c>
      <c r="F59" s="21" t="s">
        <v>33</v>
      </c>
      <c r="G59" s="24">
        <v>462783.91494132765</v>
      </c>
      <c r="H59" s="24">
        <v>36591.997642066242</v>
      </c>
      <c r="I59" s="28">
        <v>30408</v>
      </c>
      <c r="J59" s="28">
        <v>4404.04</v>
      </c>
      <c r="K59" s="24">
        <f t="shared" si="0"/>
        <v>426192</v>
      </c>
      <c r="L59" s="25">
        <f t="shared" si="1"/>
        <v>14.02</v>
      </c>
      <c r="M59" s="26">
        <f t="shared" si="2"/>
        <v>7.9069294460472825E-2</v>
      </c>
      <c r="N59" s="27">
        <f t="shared" si="3"/>
        <v>6.9</v>
      </c>
      <c r="O59" s="25">
        <f t="shared" si="4"/>
        <v>105.08</v>
      </c>
      <c r="P59" s="143"/>
    </row>
    <row r="60" spans="1:16" x14ac:dyDescent="0.25">
      <c r="A60" s="93" t="s">
        <v>67</v>
      </c>
      <c r="B60" s="22">
        <v>22</v>
      </c>
      <c r="D60" s="22" t="s">
        <v>18</v>
      </c>
      <c r="E60" s="21" t="s">
        <v>30</v>
      </c>
      <c r="F60" s="22" t="s">
        <v>33</v>
      </c>
      <c r="G60" s="25">
        <v>10109268.345235327</v>
      </c>
      <c r="H60" s="25">
        <v>801499.23617248842</v>
      </c>
      <c r="I60" s="29">
        <v>655360.94869727036</v>
      </c>
      <c r="J60" s="30">
        <v>37045.110000000073</v>
      </c>
      <c r="K60" s="24">
        <f t="shared" si="0"/>
        <v>9307769</v>
      </c>
      <c r="L60" s="25">
        <f t="shared" si="1"/>
        <v>14.2</v>
      </c>
      <c r="M60" s="26">
        <f t="shared" si="2"/>
        <v>7.9283604787308753E-2</v>
      </c>
      <c r="N60" s="27">
        <f t="shared" si="3"/>
        <v>17.7</v>
      </c>
      <c r="O60" s="25">
        <f t="shared" si="4"/>
        <v>272.89</v>
      </c>
      <c r="P60" s="143"/>
    </row>
    <row r="61" spans="1:16" x14ac:dyDescent="0.25">
      <c r="A61" s="93" t="s">
        <v>67</v>
      </c>
      <c r="B61" s="22">
        <v>68</v>
      </c>
      <c r="D61" s="22" t="s">
        <v>18</v>
      </c>
      <c r="E61" s="21" t="s">
        <v>30</v>
      </c>
      <c r="F61" s="22" t="s">
        <v>33</v>
      </c>
      <c r="G61" s="25">
        <v>7393110.1092680423</v>
      </c>
      <c r="H61" s="25">
        <v>463248.68768246996</v>
      </c>
      <c r="I61" s="29">
        <v>487225.42284465156</v>
      </c>
      <c r="J61" s="30">
        <v>26464.430000000171</v>
      </c>
      <c r="K61" s="24">
        <f t="shared" si="0"/>
        <v>6929861</v>
      </c>
      <c r="L61" s="25">
        <f t="shared" si="1"/>
        <v>14.22</v>
      </c>
      <c r="M61" s="26">
        <f t="shared" si="2"/>
        <v>6.2659514174114486E-2</v>
      </c>
      <c r="N61" s="27">
        <f t="shared" si="3"/>
        <v>18.399999999999999</v>
      </c>
      <c r="O61" s="25">
        <f t="shared" si="4"/>
        <v>279.36</v>
      </c>
      <c r="P61" s="210"/>
    </row>
    <row r="62" spans="1:16" x14ac:dyDescent="0.25">
      <c r="A62" s="93" t="s">
        <v>67</v>
      </c>
      <c r="B62" s="22">
        <v>722</v>
      </c>
      <c r="C62" s="22"/>
      <c r="D62" s="21" t="s">
        <v>20</v>
      </c>
      <c r="E62" s="21" t="s">
        <v>30</v>
      </c>
      <c r="F62" s="21" t="s">
        <v>33</v>
      </c>
      <c r="G62" s="25">
        <v>1811845.2247316854</v>
      </c>
      <c r="H62" s="25">
        <v>109936.00601305715</v>
      </c>
      <c r="I62" s="213">
        <v>114929.57093318911</v>
      </c>
      <c r="J62" s="213">
        <v>5975.2799999999761</v>
      </c>
      <c r="K62" s="24">
        <f t="shared" si="0"/>
        <v>1701909</v>
      </c>
      <c r="L62" s="25">
        <f t="shared" si="1"/>
        <v>14.81</v>
      </c>
      <c r="M62" s="26">
        <f t="shared" si="2"/>
        <v>6.0676267769691795E-2</v>
      </c>
      <c r="N62" s="27">
        <f t="shared" si="3"/>
        <v>19.2</v>
      </c>
      <c r="O62" s="25">
        <f t="shared" si="4"/>
        <v>303.22000000000003</v>
      </c>
      <c r="P62" s="143"/>
    </row>
    <row r="63" spans="1:16" x14ac:dyDescent="0.25">
      <c r="A63" s="93" t="s">
        <v>68</v>
      </c>
      <c r="C63" s="21" t="s">
        <v>93</v>
      </c>
      <c r="D63" s="21" t="s">
        <v>94</v>
      </c>
      <c r="E63" s="21" t="s">
        <v>31</v>
      </c>
      <c r="F63" s="207" t="s">
        <v>33</v>
      </c>
      <c r="G63" s="207">
        <v>801153.27456388855</v>
      </c>
      <c r="H63" s="215">
        <v>66918.87</v>
      </c>
      <c r="I63" s="216">
        <v>49463</v>
      </c>
      <c r="J63" s="24">
        <v>10075</v>
      </c>
      <c r="K63" s="24">
        <f t="shared" si="0"/>
        <v>734234</v>
      </c>
      <c r="L63" s="25">
        <f t="shared" si="1"/>
        <v>14.84</v>
      </c>
      <c r="M63" s="26">
        <f t="shared" si="2"/>
        <v>8.3528173852160298E-2</v>
      </c>
      <c r="N63" s="27">
        <f t="shared" si="3"/>
        <v>4.9000000000000004</v>
      </c>
      <c r="O63" s="25">
        <f t="shared" si="4"/>
        <v>79.52</v>
      </c>
      <c r="P63" s="173"/>
    </row>
    <row r="64" spans="1:16" x14ac:dyDescent="0.25">
      <c r="A64" s="93" t="s">
        <v>68</v>
      </c>
      <c r="B64" s="21">
        <v>219</v>
      </c>
      <c r="D64" s="21" t="s">
        <v>20</v>
      </c>
      <c r="E64" s="21" t="s">
        <v>30</v>
      </c>
      <c r="F64" s="21" t="s">
        <v>33</v>
      </c>
      <c r="G64" s="24">
        <v>919838.63330162247</v>
      </c>
      <c r="H64" s="24">
        <v>65973.479609260772</v>
      </c>
      <c r="I64" s="28">
        <v>57178</v>
      </c>
      <c r="J64" s="28">
        <v>7412.9000000000005</v>
      </c>
      <c r="K64" s="24">
        <f t="shared" si="0"/>
        <v>853865</v>
      </c>
      <c r="L64" s="25">
        <f t="shared" si="1"/>
        <v>14.93</v>
      </c>
      <c r="M64" s="26">
        <f t="shared" si="2"/>
        <v>7.1722884015491817E-2</v>
      </c>
      <c r="N64" s="27">
        <f t="shared" si="3"/>
        <v>7.7</v>
      </c>
      <c r="O64" s="25">
        <f t="shared" si="4"/>
        <v>124.09</v>
      </c>
      <c r="P64" s="143"/>
    </row>
    <row r="65" spans="1:16" x14ac:dyDescent="0.25">
      <c r="A65" s="93" t="s">
        <v>68</v>
      </c>
      <c r="B65" s="21">
        <v>534</v>
      </c>
      <c r="D65" s="21" t="s">
        <v>20</v>
      </c>
      <c r="E65" s="21" t="s">
        <v>30</v>
      </c>
      <c r="F65" s="22" t="s">
        <v>33</v>
      </c>
      <c r="G65" s="24">
        <v>181597.42641962666</v>
      </c>
      <c r="H65" s="24">
        <v>13999.10208831574</v>
      </c>
      <c r="I65" s="28">
        <v>11211</v>
      </c>
      <c r="J65" s="32">
        <v>1682.45</v>
      </c>
      <c r="K65" s="24">
        <f t="shared" si="0"/>
        <v>167598</v>
      </c>
      <c r="L65" s="25">
        <f t="shared" si="1"/>
        <v>14.95</v>
      </c>
      <c r="M65" s="26">
        <f t="shared" si="2"/>
        <v>7.7088659042817503E-2</v>
      </c>
      <c r="N65" s="27">
        <f t="shared" si="3"/>
        <v>6.7</v>
      </c>
      <c r="O65" s="25">
        <f t="shared" si="4"/>
        <v>107.94</v>
      </c>
      <c r="P65" s="143"/>
    </row>
    <row r="66" spans="1:16" x14ac:dyDescent="0.25">
      <c r="A66" s="93" t="s">
        <v>68</v>
      </c>
      <c r="B66" s="21">
        <v>323</v>
      </c>
      <c r="D66" s="21" t="s">
        <v>20</v>
      </c>
      <c r="E66" s="21" t="s">
        <v>30</v>
      </c>
      <c r="F66" s="21" t="s">
        <v>33</v>
      </c>
      <c r="G66" s="24">
        <v>656056.58373475459</v>
      </c>
      <c r="H66" s="24">
        <v>40654.20442251741</v>
      </c>
      <c r="I66" s="28">
        <v>41038</v>
      </c>
      <c r="J66" s="28">
        <v>4994.05</v>
      </c>
      <c r="K66" s="24">
        <f t="shared" si="0"/>
        <v>615402</v>
      </c>
      <c r="L66" s="25">
        <f t="shared" si="1"/>
        <v>15</v>
      </c>
      <c r="M66" s="26">
        <f t="shared" si="2"/>
        <v>6.1967527543255345E-2</v>
      </c>
      <c r="N66" s="27">
        <f t="shared" si="3"/>
        <v>8.1999999999999993</v>
      </c>
      <c r="O66" s="25">
        <f t="shared" si="4"/>
        <v>131.37</v>
      </c>
      <c r="P66" s="143"/>
    </row>
    <row r="67" spans="1:16" x14ac:dyDescent="0.25">
      <c r="A67" s="93" t="s">
        <v>67</v>
      </c>
      <c r="B67" s="22">
        <v>824</v>
      </c>
      <c r="C67" s="22"/>
      <c r="D67" s="21" t="s">
        <v>70</v>
      </c>
      <c r="E67" s="21" t="s">
        <v>30</v>
      </c>
      <c r="F67" s="21" t="s">
        <v>33</v>
      </c>
      <c r="G67" s="25">
        <v>133135.22527044007</v>
      </c>
      <c r="H67" s="25">
        <v>21436.91678099534</v>
      </c>
      <c r="I67" s="213">
        <v>7434.3337691368006</v>
      </c>
      <c r="J67" s="213">
        <v>371.91000000000196</v>
      </c>
      <c r="K67" s="24">
        <f t="shared" ref="K67:K130" si="5">ROUND(G67-H67,0)</f>
        <v>111698</v>
      </c>
      <c r="L67" s="25">
        <f t="shared" ref="L67:L130" si="6">ROUND(K67/I67,2)</f>
        <v>15.02</v>
      </c>
      <c r="M67" s="26">
        <f t="shared" ref="M67:M130" si="7">+H67/G67</f>
        <v>0.16101611528767185</v>
      </c>
      <c r="N67" s="27">
        <f t="shared" ref="N67:N130" si="8">ROUND(I67/J67,1)</f>
        <v>20</v>
      </c>
      <c r="O67" s="25">
        <f t="shared" ref="O67:O130" si="9">ROUND(G67/J67,2)</f>
        <v>357.98</v>
      </c>
      <c r="P67" s="143"/>
    </row>
    <row r="68" spans="1:16" x14ac:dyDescent="0.25">
      <c r="A68" s="93" t="s">
        <v>67</v>
      </c>
      <c r="B68" s="22">
        <v>578</v>
      </c>
      <c r="C68" s="22"/>
      <c r="D68" s="21" t="s">
        <v>70</v>
      </c>
      <c r="E68" s="21" t="s">
        <v>30</v>
      </c>
      <c r="F68" s="21" t="s">
        <v>33</v>
      </c>
      <c r="G68" s="25">
        <v>244438.93546919967</v>
      </c>
      <c r="H68" s="25">
        <v>50384.390960998251</v>
      </c>
      <c r="I68" s="213">
        <v>12875.97025645229</v>
      </c>
      <c r="J68" s="213">
        <v>543.94999999999743</v>
      </c>
      <c r="K68" s="24">
        <f t="shared" si="5"/>
        <v>194055</v>
      </c>
      <c r="L68" s="25">
        <f t="shared" si="6"/>
        <v>15.07</v>
      </c>
      <c r="M68" s="26">
        <f t="shared" si="7"/>
        <v>0.20612260834913879</v>
      </c>
      <c r="N68" s="27">
        <f t="shared" si="8"/>
        <v>23.7</v>
      </c>
      <c r="O68" s="25">
        <f t="shared" si="9"/>
        <v>449.38</v>
      </c>
      <c r="P68" s="210"/>
    </row>
    <row r="69" spans="1:16" x14ac:dyDescent="0.25">
      <c r="A69" s="93" t="s">
        <v>68</v>
      </c>
      <c r="B69" s="22">
        <v>30</v>
      </c>
      <c r="C69" s="22"/>
      <c r="D69" s="21" t="s">
        <v>19</v>
      </c>
      <c r="E69" s="21" t="s">
        <v>30</v>
      </c>
      <c r="F69" s="22" t="s">
        <v>33</v>
      </c>
      <c r="G69" s="25">
        <v>1134979.3046549608</v>
      </c>
      <c r="H69" s="31">
        <v>70261.618412114898</v>
      </c>
      <c r="I69" s="29">
        <v>68891</v>
      </c>
      <c r="J69" s="30">
        <v>8183.2999999999993</v>
      </c>
      <c r="K69" s="24">
        <f t="shared" si="5"/>
        <v>1064718</v>
      </c>
      <c r="L69" s="25">
        <f t="shared" si="6"/>
        <v>15.46</v>
      </c>
      <c r="M69" s="26">
        <f t="shared" si="7"/>
        <v>6.1905638388247766E-2</v>
      </c>
      <c r="N69" s="27">
        <f t="shared" si="8"/>
        <v>8.4</v>
      </c>
      <c r="O69" s="25">
        <f t="shared" si="9"/>
        <v>138.69</v>
      </c>
      <c r="P69" s="210"/>
    </row>
    <row r="70" spans="1:16" x14ac:dyDescent="0.25">
      <c r="A70" s="93" t="s">
        <v>67</v>
      </c>
      <c r="B70" s="22">
        <v>355</v>
      </c>
      <c r="C70" s="22"/>
      <c r="D70" s="21" t="s">
        <v>70</v>
      </c>
      <c r="E70" s="21" t="s">
        <v>30</v>
      </c>
      <c r="F70" s="22" t="s">
        <v>33</v>
      </c>
      <c r="G70" s="25">
        <v>245378.90925586401</v>
      </c>
      <c r="H70" s="25">
        <v>54085.243475740273</v>
      </c>
      <c r="I70" s="213">
        <v>12338.473237414237</v>
      </c>
      <c r="J70" s="213">
        <v>507.39000000000118</v>
      </c>
      <c r="K70" s="24">
        <f t="shared" si="5"/>
        <v>191294</v>
      </c>
      <c r="L70" s="25">
        <f t="shared" si="6"/>
        <v>15.5</v>
      </c>
      <c r="M70" s="26">
        <f t="shared" si="7"/>
        <v>0.2204152086247313</v>
      </c>
      <c r="N70" s="27">
        <f t="shared" si="8"/>
        <v>24.3</v>
      </c>
      <c r="O70" s="25">
        <f t="shared" si="9"/>
        <v>483.61</v>
      </c>
      <c r="P70" s="210"/>
    </row>
    <row r="71" spans="1:16" x14ac:dyDescent="0.25">
      <c r="A71" s="93" t="s">
        <v>67</v>
      </c>
      <c r="B71" s="22">
        <v>363</v>
      </c>
      <c r="C71" s="22"/>
      <c r="D71" s="21" t="s">
        <v>70</v>
      </c>
      <c r="E71" s="21" t="s">
        <v>30</v>
      </c>
      <c r="F71" s="21" t="s">
        <v>33</v>
      </c>
      <c r="G71" s="25">
        <v>589228.39101689588</v>
      </c>
      <c r="H71" s="25">
        <v>117134.73194509231</v>
      </c>
      <c r="I71" s="213">
        <v>30099.83306613101</v>
      </c>
      <c r="J71" s="213">
        <v>1282.7100000000012</v>
      </c>
      <c r="K71" s="24">
        <f t="shared" si="5"/>
        <v>472094</v>
      </c>
      <c r="L71" s="25">
        <f t="shared" si="6"/>
        <v>15.68</v>
      </c>
      <c r="M71" s="26">
        <f t="shared" si="7"/>
        <v>0.19879342837323247</v>
      </c>
      <c r="N71" s="27">
        <f t="shared" si="8"/>
        <v>23.5</v>
      </c>
      <c r="O71" s="25">
        <f t="shared" si="9"/>
        <v>459.36</v>
      </c>
      <c r="P71" s="210"/>
    </row>
    <row r="72" spans="1:16" x14ac:dyDescent="0.25">
      <c r="A72" s="93" t="s">
        <v>67</v>
      </c>
      <c r="B72" s="22">
        <v>667</v>
      </c>
      <c r="C72" s="22"/>
      <c r="D72" s="21" t="s">
        <v>70</v>
      </c>
      <c r="E72" s="21" t="s">
        <v>30</v>
      </c>
      <c r="F72" s="21" t="s">
        <v>33</v>
      </c>
      <c r="G72" s="25">
        <v>327077.60435075039</v>
      </c>
      <c r="H72" s="25">
        <v>58666.454601444835</v>
      </c>
      <c r="I72" s="213">
        <v>16981.155822399905</v>
      </c>
      <c r="J72" s="213">
        <v>753.94000000000267</v>
      </c>
      <c r="K72" s="24">
        <f t="shared" si="5"/>
        <v>268411</v>
      </c>
      <c r="L72" s="25">
        <f t="shared" si="6"/>
        <v>15.81</v>
      </c>
      <c r="M72" s="26">
        <f t="shared" si="7"/>
        <v>0.17936555062489787</v>
      </c>
      <c r="N72" s="27">
        <f t="shared" si="8"/>
        <v>22.5</v>
      </c>
      <c r="O72" s="25">
        <f t="shared" si="9"/>
        <v>433.82</v>
      </c>
      <c r="P72" s="210"/>
    </row>
    <row r="73" spans="1:16" x14ac:dyDescent="0.25">
      <c r="A73" s="93" t="s">
        <v>68</v>
      </c>
      <c r="B73" s="21">
        <v>537</v>
      </c>
      <c r="D73" s="21" t="s">
        <v>20</v>
      </c>
      <c r="E73" s="21" t="s">
        <v>30</v>
      </c>
      <c r="F73" s="21" t="s">
        <v>33</v>
      </c>
      <c r="G73" s="24">
        <v>95349.484038944778</v>
      </c>
      <c r="H73" s="24">
        <v>9446.0391231070735</v>
      </c>
      <c r="I73" s="28">
        <v>5306</v>
      </c>
      <c r="J73" s="28">
        <v>776.70999999999992</v>
      </c>
      <c r="K73" s="24">
        <f t="shared" si="5"/>
        <v>85903</v>
      </c>
      <c r="L73" s="25">
        <f t="shared" si="6"/>
        <v>16.190000000000001</v>
      </c>
      <c r="M73" s="26">
        <f t="shared" si="7"/>
        <v>9.9067543136876435E-2</v>
      </c>
      <c r="N73" s="27">
        <f t="shared" si="8"/>
        <v>6.8</v>
      </c>
      <c r="O73" s="25">
        <f t="shared" si="9"/>
        <v>122.76</v>
      </c>
      <c r="P73" s="143"/>
    </row>
    <row r="74" spans="1:16" x14ac:dyDescent="0.25">
      <c r="A74" s="93" t="s">
        <v>69</v>
      </c>
      <c r="B74" s="22">
        <v>795</v>
      </c>
      <c r="C74" s="22"/>
      <c r="D74" s="21" t="s">
        <v>70</v>
      </c>
      <c r="E74" s="21" t="s">
        <v>30</v>
      </c>
      <c r="F74" s="22" t="s">
        <v>33</v>
      </c>
      <c r="G74" s="31">
        <v>91275</v>
      </c>
      <c r="H74" s="31">
        <v>11195</v>
      </c>
      <c r="I74" s="213">
        <v>4918</v>
      </c>
      <c r="J74" s="213">
        <v>497.95</v>
      </c>
      <c r="K74" s="24">
        <f t="shared" si="5"/>
        <v>80080</v>
      </c>
      <c r="L74" s="25">
        <f t="shared" si="6"/>
        <v>16.28</v>
      </c>
      <c r="M74" s="26">
        <f t="shared" si="7"/>
        <v>0.12265132840317722</v>
      </c>
      <c r="N74" s="27">
        <f t="shared" si="8"/>
        <v>9.9</v>
      </c>
      <c r="O74" s="25">
        <f t="shared" si="9"/>
        <v>183.3</v>
      </c>
      <c r="P74" s="143"/>
    </row>
    <row r="75" spans="1:16" x14ac:dyDescent="0.25">
      <c r="A75" s="93" t="s">
        <v>9</v>
      </c>
      <c r="B75" s="22">
        <v>460</v>
      </c>
      <c r="C75" s="22"/>
      <c r="D75" s="21" t="s">
        <v>70</v>
      </c>
      <c r="E75" s="21" t="s">
        <v>30</v>
      </c>
      <c r="F75" s="22" t="s">
        <v>33</v>
      </c>
      <c r="G75" s="31">
        <v>1726693.0458</v>
      </c>
      <c r="H75" s="31">
        <v>215539.24010858528</v>
      </c>
      <c r="I75" s="213">
        <v>91724</v>
      </c>
      <c r="J75" s="213">
        <v>5377.3</v>
      </c>
      <c r="K75" s="24">
        <f t="shared" si="5"/>
        <v>1511154</v>
      </c>
      <c r="L75" s="25">
        <f t="shared" si="6"/>
        <v>16.48</v>
      </c>
      <c r="M75" s="26">
        <f t="shared" si="7"/>
        <v>0.12482776868353174</v>
      </c>
      <c r="N75" s="27">
        <f t="shared" si="8"/>
        <v>17.100000000000001</v>
      </c>
      <c r="O75" s="25">
        <f t="shared" si="9"/>
        <v>321.11</v>
      </c>
      <c r="P75" s="143"/>
    </row>
    <row r="76" spans="1:16" x14ac:dyDescent="0.25">
      <c r="A76" s="93" t="s">
        <v>67</v>
      </c>
      <c r="B76" s="22">
        <v>5</v>
      </c>
      <c r="C76" s="22"/>
      <c r="D76" s="21" t="s">
        <v>19</v>
      </c>
      <c r="E76" s="21" t="s">
        <v>30</v>
      </c>
      <c r="F76" s="22" t="s">
        <v>33</v>
      </c>
      <c r="G76" s="25">
        <v>3447021.1285070162</v>
      </c>
      <c r="H76" s="25">
        <v>212118.54556526642</v>
      </c>
      <c r="I76" s="29">
        <v>193230.17834418031</v>
      </c>
      <c r="J76" s="30">
        <v>11503.639999999979</v>
      </c>
      <c r="K76" s="24">
        <f t="shared" si="5"/>
        <v>3234903</v>
      </c>
      <c r="L76" s="25">
        <f t="shared" si="6"/>
        <v>16.739999999999998</v>
      </c>
      <c r="M76" s="26">
        <f t="shared" si="7"/>
        <v>6.1536769766520061E-2</v>
      </c>
      <c r="N76" s="27">
        <f t="shared" si="8"/>
        <v>16.8</v>
      </c>
      <c r="O76" s="25">
        <f t="shared" si="9"/>
        <v>299.64999999999998</v>
      </c>
      <c r="P76" s="143"/>
    </row>
    <row r="77" spans="1:16" x14ac:dyDescent="0.25">
      <c r="A77" s="93" t="s">
        <v>67</v>
      </c>
      <c r="B77" s="22">
        <v>264</v>
      </c>
      <c r="C77" s="22"/>
      <c r="D77" s="21" t="s">
        <v>70</v>
      </c>
      <c r="E77" s="21" t="s">
        <v>30</v>
      </c>
      <c r="F77" s="22" t="s">
        <v>33</v>
      </c>
      <c r="G77" s="25">
        <v>237330.90360455774</v>
      </c>
      <c r="H77" s="25">
        <v>47187.400816271969</v>
      </c>
      <c r="I77" s="213">
        <v>11340.562105169169</v>
      </c>
      <c r="J77" s="213">
        <v>628.31999999999982</v>
      </c>
      <c r="K77" s="24">
        <f t="shared" si="5"/>
        <v>190144</v>
      </c>
      <c r="L77" s="25">
        <f t="shared" si="6"/>
        <v>16.77</v>
      </c>
      <c r="M77" s="26">
        <f t="shared" si="7"/>
        <v>0.19882535354475334</v>
      </c>
      <c r="N77" s="27">
        <f t="shared" si="8"/>
        <v>18</v>
      </c>
      <c r="O77" s="25">
        <f t="shared" si="9"/>
        <v>377.72</v>
      </c>
      <c r="P77" s="143"/>
    </row>
    <row r="78" spans="1:16" x14ac:dyDescent="0.25">
      <c r="A78" s="93" t="s">
        <v>9</v>
      </c>
      <c r="B78" s="21">
        <v>444</v>
      </c>
      <c r="D78" s="21" t="s">
        <v>20</v>
      </c>
      <c r="E78" s="21" t="s">
        <v>30</v>
      </c>
      <c r="F78" s="21" t="s">
        <v>33</v>
      </c>
      <c r="G78" s="24">
        <v>2479252.284299999</v>
      </c>
      <c r="H78" s="25">
        <v>303560.57428489014</v>
      </c>
      <c r="I78" s="28">
        <v>129182</v>
      </c>
      <c r="J78" s="28">
        <v>13663.99</v>
      </c>
      <c r="K78" s="24">
        <f t="shared" si="5"/>
        <v>2175692</v>
      </c>
      <c r="L78" s="25">
        <f t="shared" si="6"/>
        <v>16.84</v>
      </c>
      <c r="M78" s="26">
        <f t="shared" si="7"/>
        <v>0.12244037293308314</v>
      </c>
      <c r="N78" s="27">
        <f t="shared" si="8"/>
        <v>9.5</v>
      </c>
      <c r="O78" s="25">
        <f t="shared" si="9"/>
        <v>181.44</v>
      </c>
      <c r="P78" s="143"/>
    </row>
    <row r="79" spans="1:16" x14ac:dyDescent="0.25">
      <c r="A79" s="93" t="s">
        <v>67</v>
      </c>
      <c r="B79" s="21">
        <v>252</v>
      </c>
      <c r="D79" s="21" t="s">
        <v>70</v>
      </c>
      <c r="E79" s="21" t="s">
        <v>30</v>
      </c>
      <c r="F79" s="22" t="s">
        <v>33</v>
      </c>
      <c r="G79" s="33">
        <v>249128.40646240325</v>
      </c>
      <c r="H79" s="33">
        <v>29255.997712993132</v>
      </c>
      <c r="I79" s="34">
        <v>12980.136345413153</v>
      </c>
      <c r="J79" s="34">
        <v>496.23999999999944</v>
      </c>
      <c r="K79" s="24">
        <f t="shared" si="5"/>
        <v>219872</v>
      </c>
      <c r="L79" s="25">
        <f t="shared" si="6"/>
        <v>16.940000000000001</v>
      </c>
      <c r="M79" s="26">
        <f t="shared" si="7"/>
        <v>0.11743340764879114</v>
      </c>
      <c r="N79" s="27">
        <f t="shared" si="8"/>
        <v>26.2</v>
      </c>
      <c r="O79" s="25">
        <f t="shared" si="9"/>
        <v>502.03</v>
      </c>
      <c r="P79" s="143"/>
    </row>
    <row r="80" spans="1:16" x14ac:dyDescent="0.25">
      <c r="A80" s="93" t="s">
        <v>67</v>
      </c>
      <c r="B80" s="22">
        <v>721</v>
      </c>
      <c r="C80" s="22"/>
      <c r="D80" s="21" t="s">
        <v>20</v>
      </c>
      <c r="E80" s="21" t="s">
        <v>30</v>
      </c>
      <c r="F80" s="21" t="s">
        <v>33</v>
      </c>
      <c r="G80" s="25">
        <v>1760182.0194615498</v>
      </c>
      <c r="H80" s="25">
        <v>94321.33048033512</v>
      </c>
      <c r="I80" s="213">
        <v>98364.037805743035</v>
      </c>
      <c r="J80" s="213">
        <v>5889.9499999999834</v>
      </c>
      <c r="K80" s="24">
        <f t="shared" si="5"/>
        <v>1665861</v>
      </c>
      <c r="L80" s="25">
        <f t="shared" si="6"/>
        <v>16.940000000000001</v>
      </c>
      <c r="M80" s="26">
        <f t="shared" si="7"/>
        <v>5.3586123160824346E-2</v>
      </c>
      <c r="N80" s="27">
        <f t="shared" si="8"/>
        <v>16.7</v>
      </c>
      <c r="O80" s="25">
        <f t="shared" si="9"/>
        <v>298.83999999999997</v>
      </c>
      <c r="P80" s="143"/>
    </row>
    <row r="81" spans="1:16" x14ac:dyDescent="0.25">
      <c r="A81" s="93" t="s">
        <v>9</v>
      </c>
      <c r="B81" s="22">
        <v>465</v>
      </c>
      <c r="C81" s="22"/>
      <c r="D81" s="21" t="s">
        <v>70</v>
      </c>
      <c r="E81" s="21" t="s">
        <v>30</v>
      </c>
      <c r="F81" s="22" t="s">
        <v>33</v>
      </c>
      <c r="G81" s="31">
        <v>2301695.5028999997</v>
      </c>
      <c r="H81" s="31">
        <v>279157.20102895214</v>
      </c>
      <c r="I81" s="213">
        <v>118797</v>
      </c>
      <c r="J81" s="213">
        <v>9209.0600000000013</v>
      </c>
      <c r="K81" s="24">
        <f t="shared" si="5"/>
        <v>2022538</v>
      </c>
      <c r="L81" s="25">
        <f t="shared" si="6"/>
        <v>17.03</v>
      </c>
      <c r="M81" s="26">
        <f t="shared" si="7"/>
        <v>0.12128328906983163</v>
      </c>
      <c r="N81" s="27">
        <f t="shared" si="8"/>
        <v>12.9</v>
      </c>
      <c r="O81" s="25">
        <f t="shared" si="9"/>
        <v>249.94</v>
      </c>
      <c r="P81" s="143"/>
    </row>
    <row r="82" spans="1:16" x14ac:dyDescent="0.25">
      <c r="A82" s="93" t="s">
        <v>67</v>
      </c>
      <c r="B82" s="22">
        <v>275</v>
      </c>
      <c r="C82" s="22"/>
      <c r="D82" s="21" t="s">
        <v>70</v>
      </c>
      <c r="E82" s="21" t="s">
        <v>30</v>
      </c>
      <c r="F82" s="22" t="s">
        <v>33</v>
      </c>
      <c r="G82" s="25">
        <v>292348.48435674212</v>
      </c>
      <c r="H82" s="25">
        <v>53207.275113848737</v>
      </c>
      <c r="I82" s="213">
        <v>13840.548240229884</v>
      </c>
      <c r="J82" s="213">
        <v>652.74000000000126</v>
      </c>
      <c r="K82" s="24">
        <f t="shared" si="5"/>
        <v>239141</v>
      </c>
      <c r="L82" s="25">
        <f t="shared" si="6"/>
        <v>17.28</v>
      </c>
      <c r="M82" s="26">
        <f t="shared" si="7"/>
        <v>0.18199949020061226</v>
      </c>
      <c r="N82" s="27">
        <f t="shared" si="8"/>
        <v>21.2</v>
      </c>
      <c r="O82" s="25">
        <f t="shared" si="9"/>
        <v>447.88</v>
      </c>
      <c r="P82" s="143"/>
    </row>
    <row r="83" spans="1:16" x14ac:dyDescent="0.25">
      <c r="A83" s="93" t="s">
        <v>68</v>
      </c>
      <c r="B83" s="22">
        <v>467</v>
      </c>
      <c r="C83" s="22"/>
      <c r="D83" s="21" t="s">
        <v>70</v>
      </c>
      <c r="E83" s="21" t="s">
        <v>30</v>
      </c>
      <c r="F83" s="21" t="s">
        <v>33</v>
      </c>
      <c r="G83" s="31">
        <v>661061.99607770273</v>
      </c>
      <c r="H83" s="31">
        <v>91762.605700127024</v>
      </c>
      <c r="I83" s="213">
        <v>32721</v>
      </c>
      <c r="J83" s="213">
        <v>2073.3000000000002</v>
      </c>
      <c r="K83" s="24">
        <f t="shared" si="5"/>
        <v>569299</v>
      </c>
      <c r="L83" s="25">
        <f t="shared" si="6"/>
        <v>17.399999999999999</v>
      </c>
      <c r="M83" s="26">
        <f t="shared" si="7"/>
        <v>0.13881089254046461</v>
      </c>
      <c r="N83" s="27">
        <f t="shared" si="8"/>
        <v>15.8</v>
      </c>
      <c r="O83" s="25">
        <f t="shared" si="9"/>
        <v>318.85000000000002</v>
      </c>
      <c r="P83" s="143"/>
    </row>
    <row r="84" spans="1:16" x14ac:dyDescent="0.25">
      <c r="A84" s="93" t="s">
        <v>68</v>
      </c>
      <c r="B84" s="21">
        <v>903</v>
      </c>
      <c r="C84" s="21" t="s">
        <v>80</v>
      </c>
      <c r="D84" s="21" t="s">
        <v>23</v>
      </c>
      <c r="E84" s="21" t="s">
        <v>30</v>
      </c>
      <c r="F84" s="22" t="s">
        <v>33</v>
      </c>
      <c r="G84" s="191">
        <v>1878568.4720758861</v>
      </c>
      <c r="H84" s="191">
        <v>69081.199693045826</v>
      </c>
      <c r="I84" s="208">
        <v>100523</v>
      </c>
      <c r="J84" s="209">
        <v>6582.9</v>
      </c>
      <c r="K84" s="24">
        <f t="shared" si="5"/>
        <v>1809487</v>
      </c>
      <c r="L84" s="25">
        <f t="shared" si="6"/>
        <v>18</v>
      </c>
      <c r="M84" s="26">
        <f t="shared" si="7"/>
        <v>3.6773320067864552E-2</v>
      </c>
      <c r="N84" s="27">
        <f t="shared" si="8"/>
        <v>15.3</v>
      </c>
      <c r="O84" s="25">
        <f t="shared" si="9"/>
        <v>285.37</v>
      </c>
      <c r="P84" s="143"/>
    </row>
    <row r="85" spans="1:16" x14ac:dyDescent="0.25">
      <c r="A85" s="93" t="s">
        <v>67</v>
      </c>
      <c r="B85" s="22">
        <v>9</v>
      </c>
      <c r="D85" s="22" t="s">
        <v>18</v>
      </c>
      <c r="E85" s="21" t="s">
        <v>30</v>
      </c>
      <c r="F85" s="22" t="s">
        <v>33</v>
      </c>
      <c r="G85" s="25">
        <v>4914438.7460071295</v>
      </c>
      <c r="H85" s="25">
        <v>310095.39919403283</v>
      </c>
      <c r="I85" s="29">
        <v>255212.1262585627</v>
      </c>
      <c r="J85" s="30">
        <v>16753.500000000025</v>
      </c>
      <c r="K85" s="24">
        <f t="shared" si="5"/>
        <v>4604343</v>
      </c>
      <c r="L85" s="25">
        <f t="shared" si="6"/>
        <v>18.04</v>
      </c>
      <c r="M85" s="26">
        <f t="shared" si="7"/>
        <v>6.3098843066459687E-2</v>
      </c>
      <c r="N85" s="27">
        <f t="shared" si="8"/>
        <v>15.2</v>
      </c>
      <c r="O85" s="25">
        <f t="shared" si="9"/>
        <v>293.33999999999997</v>
      </c>
      <c r="P85" s="143"/>
    </row>
    <row r="86" spans="1:16" x14ac:dyDescent="0.25">
      <c r="A86" s="93" t="s">
        <v>10</v>
      </c>
      <c r="B86" s="22">
        <v>784</v>
      </c>
      <c r="C86" s="22"/>
      <c r="D86" s="21" t="s">
        <v>70</v>
      </c>
      <c r="E86" s="21" t="s">
        <v>30</v>
      </c>
      <c r="F86" s="21" t="s">
        <v>33</v>
      </c>
      <c r="G86" s="31">
        <v>400226.24846668809</v>
      </c>
      <c r="H86" s="31">
        <v>55168.824006666298</v>
      </c>
      <c r="I86" s="213">
        <v>18781</v>
      </c>
      <c r="J86" s="213">
        <v>1536.5</v>
      </c>
      <c r="K86" s="24">
        <f t="shared" si="5"/>
        <v>345057</v>
      </c>
      <c r="L86" s="25">
        <f t="shared" si="6"/>
        <v>18.37</v>
      </c>
      <c r="M86" s="26">
        <f t="shared" si="7"/>
        <v>0.13784409248025156</v>
      </c>
      <c r="N86" s="27">
        <f t="shared" si="8"/>
        <v>12.2</v>
      </c>
      <c r="O86" s="25">
        <f t="shared" si="9"/>
        <v>260.48</v>
      </c>
      <c r="P86" s="143"/>
    </row>
    <row r="87" spans="1:16" x14ac:dyDescent="0.25">
      <c r="A87" s="93" t="s">
        <v>9</v>
      </c>
      <c r="B87" s="21">
        <v>495</v>
      </c>
      <c r="D87" s="21" t="s">
        <v>99</v>
      </c>
      <c r="E87" s="21" t="s">
        <v>30</v>
      </c>
      <c r="F87" s="22" t="s">
        <v>33</v>
      </c>
      <c r="G87" s="191">
        <v>1405413.2783999997</v>
      </c>
      <c r="H87" s="207">
        <v>157659.65545119392</v>
      </c>
      <c r="I87" s="208">
        <v>67093</v>
      </c>
      <c r="J87" s="209">
        <v>7366.61</v>
      </c>
      <c r="K87" s="24">
        <f t="shared" si="5"/>
        <v>1247754</v>
      </c>
      <c r="L87" s="25">
        <f t="shared" si="6"/>
        <v>18.600000000000001</v>
      </c>
      <c r="M87" s="26">
        <f t="shared" si="7"/>
        <v>0.11218028025939986</v>
      </c>
      <c r="N87" s="27">
        <f t="shared" si="8"/>
        <v>9.1</v>
      </c>
      <c r="O87" s="25">
        <f t="shared" si="9"/>
        <v>190.78</v>
      </c>
      <c r="P87" s="143"/>
    </row>
    <row r="88" spans="1:16" x14ac:dyDescent="0.25">
      <c r="A88" s="93" t="s">
        <v>67</v>
      </c>
      <c r="B88" s="22">
        <v>760</v>
      </c>
      <c r="C88" s="22"/>
      <c r="D88" s="21" t="s">
        <v>70</v>
      </c>
      <c r="E88" s="21" t="s">
        <v>30</v>
      </c>
      <c r="F88" s="21" t="s">
        <v>33</v>
      </c>
      <c r="G88" s="25">
        <v>315496.37864735664</v>
      </c>
      <c r="H88" s="25">
        <v>47655.409450222738</v>
      </c>
      <c r="I88" s="213">
        <v>14262.42090052138</v>
      </c>
      <c r="J88" s="213">
        <v>847.55000000000371</v>
      </c>
      <c r="K88" s="24">
        <f t="shared" si="5"/>
        <v>267841</v>
      </c>
      <c r="L88" s="25">
        <f t="shared" si="6"/>
        <v>18.78</v>
      </c>
      <c r="M88" s="26">
        <f t="shared" si="7"/>
        <v>0.15104899033877395</v>
      </c>
      <c r="N88" s="27">
        <f t="shared" si="8"/>
        <v>16.8</v>
      </c>
      <c r="O88" s="25">
        <f t="shared" si="9"/>
        <v>372.25</v>
      </c>
      <c r="P88" s="143"/>
    </row>
    <row r="89" spans="1:16" x14ac:dyDescent="0.25">
      <c r="A89" s="93" t="s">
        <v>69</v>
      </c>
      <c r="B89" s="22">
        <v>790</v>
      </c>
      <c r="C89" s="22"/>
      <c r="D89" s="21" t="s">
        <v>70</v>
      </c>
      <c r="E89" s="21" t="s">
        <v>30</v>
      </c>
      <c r="F89" s="22" t="s">
        <v>33</v>
      </c>
      <c r="G89" s="31">
        <v>385432</v>
      </c>
      <c r="H89" s="31">
        <v>41171</v>
      </c>
      <c r="I89" s="213">
        <v>17980</v>
      </c>
      <c r="J89" s="213">
        <v>2050.0500000000002</v>
      </c>
      <c r="K89" s="24">
        <f t="shared" si="5"/>
        <v>344261</v>
      </c>
      <c r="L89" s="25">
        <f t="shared" si="6"/>
        <v>19.149999999999999</v>
      </c>
      <c r="M89" s="26">
        <f t="shared" si="7"/>
        <v>0.10681780443761806</v>
      </c>
      <c r="N89" s="27">
        <f t="shared" si="8"/>
        <v>8.8000000000000007</v>
      </c>
      <c r="O89" s="25">
        <f t="shared" si="9"/>
        <v>188.01</v>
      </c>
      <c r="P89" s="143"/>
    </row>
    <row r="90" spans="1:16" x14ac:dyDescent="0.25">
      <c r="A90" s="93" t="s">
        <v>67</v>
      </c>
      <c r="B90" s="22">
        <v>7</v>
      </c>
      <c r="D90" s="22" t="s">
        <v>18</v>
      </c>
      <c r="E90" s="21" t="s">
        <v>30</v>
      </c>
      <c r="F90" s="22" t="s">
        <v>33</v>
      </c>
      <c r="G90" s="25">
        <v>3777970.9257577085</v>
      </c>
      <c r="H90" s="25">
        <v>214461.88599824763</v>
      </c>
      <c r="I90" s="29">
        <v>183753.14757052099</v>
      </c>
      <c r="J90" s="30">
        <v>13876.579999999958</v>
      </c>
      <c r="K90" s="24">
        <f t="shared" si="5"/>
        <v>3563509</v>
      </c>
      <c r="L90" s="25">
        <f t="shared" si="6"/>
        <v>19.39</v>
      </c>
      <c r="M90" s="26">
        <f t="shared" si="7"/>
        <v>5.6766420444391119E-2</v>
      </c>
      <c r="N90" s="27">
        <f t="shared" si="8"/>
        <v>13.2</v>
      </c>
      <c r="O90" s="25">
        <f t="shared" si="9"/>
        <v>272.26</v>
      </c>
      <c r="P90" s="143"/>
    </row>
    <row r="91" spans="1:16" x14ac:dyDescent="0.25">
      <c r="A91" s="93" t="s">
        <v>34</v>
      </c>
      <c r="B91" s="22">
        <v>698</v>
      </c>
      <c r="C91" s="22"/>
      <c r="D91" s="21" t="s">
        <v>70</v>
      </c>
      <c r="E91" s="21" t="s">
        <v>30</v>
      </c>
      <c r="F91" s="22" t="s">
        <v>33</v>
      </c>
      <c r="G91" s="31">
        <v>3522966.5569397756</v>
      </c>
      <c r="H91" s="31">
        <v>432889.94</v>
      </c>
      <c r="I91" s="213">
        <v>157600</v>
      </c>
      <c r="J91" s="213">
        <v>10702.278544150886</v>
      </c>
      <c r="K91" s="24">
        <f t="shared" si="5"/>
        <v>3090077</v>
      </c>
      <c r="L91" s="25">
        <f t="shared" si="6"/>
        <v>19.61</v>
      </c>
      <c r="M91" s="26">
        <f t="shared" si="7"/>
        <v>0.12287653970125387</v>
      </c>
      <c r="N91" s="27">
        <f t="shared" si="8"/>
        <v>14.7</v>
      </c>
      <c r="O91" s="25">
        <f t="shared" si="9"/>
        <v>329.18</v>
      </c>
      <c r="P91" s="143"/>
    </row>
    <row r="92" spans="1:16" x14ac:dyDescent="0.25">
      <c r="A92" s="93" t="s">
        <v>67</v>
      </c>
      <c r="B92" s="22">
        <v>645</v>
      </c>
      <c r="C92" s="22"/>
      <c r="D92" s="21" t="s">
        <v>20</v>
      </c>
      <c r="E92" s="21" t="s">
        <v>30</v>
      </c>
      <c r="F92" s="21" t="s">
        <v>33</v>
      </c>
      <c r="G92" s="25">
        <v>2897022.0859672013</v>
      </c>
      <c r="H92" s="25">
        <v>184566.68873234818</v>
      </c>
      <c r="I92" s="29">
        <v>138009.65126424757</v>
      </c>
      <c r="J92" s="29">
        <v>10081.629999999992</v>
      </c>
      <c r="K92" s="24">
        <f t="shared" si="5"/>
        <v>2712455</v>
      </c>
      <c r="L92" s="25">
        <f t="shared" si="6"/>
        <v>19.649999999999999</v>
      </c>
      <c r="M92" s="26">
        <f t="shared" si="7"/>
        <v>6.3709106543013691E-2</v>
      </c>
      <c r="N92" s="27">
        <f t="shared" si="8"/>
        <v>13.7</v>
      </c>
      <c r="O92" s="25">
        <f t="shared" si="9"/>
        <v>287.36</v>
      </c>
      <c r="P92" s="143"/>
    </row>
    <row r="93" spans="1:16" x14ac:dyDescent="0.25">
      <c r="A93" s="93" t="s">
        <v>68</v>
      </c>
      <c r="B93" s="21">
        <v>225</v>
      </c>
      <c r="D93" s="21" t="s">
        <v>20</v>
      </c>
      <c r="E93" s="21" t="s">
        <v>30</v>
      </c>
      <c r="F93" s="21" t="s">
        <v>33</v>
      </c>
      <c r="G93" s="24">
        <v>180774.00794493131</v>
      </c>
      <c r="H93" s="24">
        <v>9012.2552842720779</v>
      </c>
      <c r="I93" s="28">
        <v>8620</v>
      </c>
      <c r="J93" s="28">
        <v>1590.104</v>
      </c>
      <c r="K93" s="24">
        <f t="shared" si="5"/>
        <v>171762</v>
      </c>
      <c r="L93" s="25">
        <f t="shared" si="6"/>
        <v>19.93</v>
      </c>
      <c r="M93" s="26">
        <f t="shared" si="7"/>
        <v>4.9853711751622259E-2</v>
      </c>
      <c r="N93" s="27">
        <f t="shared" si="8"/>
        <v>5.4</v>
      </c>
      <c r="O93" s="25">
        <f t="shared" si="9"/>
        <v>113.69</v>
      </c>
      <c r="P93" s="143"/>
    </row>
    <row r="94" spans="1:16" x14ac:dyDescent="0.25">
      <c r="A94" s="93" t="s">
        <v>68</v>
      </c>
      <c r="B94" s="21">
        <v>542</v>
      </c>
      <c r="D94" s="21" t="s">
        <v>20</v>
      </c>
      <c r="E94" s="21" t="s">
        <v>30</v>
      </c>
      <c r="F94" s="21" t="s">
        <v>33</v>
      </c>
      <c r="G94" s="24">
        <v>355745.10181991558</v>
      </c>
      <c r="H94" s="24">
        <v>19198.943125975515</v>
      </c>
      <c r="I94" s="28">
        <v>16673</v>
      </c>
      <c r="J94" s="28">
        <v>2262.1999999999998</v>
      </c>
      <c r="K94" s="24">
        <f t="shared" si="5"/>
        <v>336546</v>
      </c>
      <c r="L94" s="25">
        <f t="shared" si="6"/>
        <v>20.190000000000001</v>
      </c>
      <c r="M94" s="26">
        <f t="shared" si="7"/>
        <v>5.3968257124997206E-2</v>
      </c>
      <c r="N94" s="27">
        <f t="shared" si="8"/>
        <v>7.4</v>
      </c>
      <c r="O94" s="25">
        <f t="shared" si="9"/>
        <v>157.26</v>
      </c>
      <c r="P94" s="143"/>
    </row>
    <row r="95" spans="1:16" x14ac:dyDescent="0.25">
      <c r="A95" s="93" t="s">
        <v>67</v>
      </c>
      <c r="B95" s="22">
        <v>723</v>
      </c>
      <c r="C95" s="22"/>
      <c r="D95" s="21" t="s">
        <v>20</v>
      </c>
      <c r="E95" s="21" t="s">
        <v>30</v>
      </c>
      <c r="F95" s="21" t="s">
        <v>33</v>
      </c>
      <c r="G95" s="25">
        <v>1653214.2502919855</v>
      </c>
      <c r="H95" s="25">
        <v>75003.0813904018</v>
      </c>
      <c r="I95" s="213">
        <v>78113.108450861648</v>
      </c>
      <c r="J95" s="213">
        <v>5266.7600000000075</v>
      </c>
      <c r="K95" s="24">
        <f t="shared" si="5"/>
        <v>1578211</v>
      </c>
      <c r="L95" s="25">
        <f t="shared" si="6"/>
        <v>20.2</v>
      </c>
      <c r="M95" s="26">
        <f t="shared" si="7"/>
        <v>4.536803464956523E-2</v>
      </c>
      <c r="N95" s="27">
        <f t="shared" si="8"/>
        <v>14.8</v>
      </c>
      <c r="O95" s="25">
        <f t="shared" si="9"/>
        <v>313.89999999999998</v>
      </c>
      <c r="P95" s="143"/>
    </row>
    <row r="96" spans="1:16" x14ac:dyDescent="0.25">
      <c r="A96" s="93" t="s">
        <v>9</v>
      </c>
      <c r="B96" s="22">
        <v>475</v>
      </c>
      <c r="C96" s="22"/>
      <c r="D96" s="21" t="s">
        <v>70</v>
      </c>
      <c r="E96" s="21" t="s">
        <v>30</v>
      </c>
      <c r="F96" s="21" t="s">
        <v>33</v>
      </c>
      <c r="G96" s="31">
        <v>1216975.8528</v>
      </c>
      <c r="H96" s="31">
        <v>126664.90405535162</v>
      </c>
      <c r="I96" s="213">
        <v>53903</v>
      </c>
      <c r="J96" s="213">
        <v>4912.7699999999995</v>
      </c>
      <c r="K96" s="24">
        <f t="shared" si="5"/>
        <v>1090311</v>
      </c>
      <c r="L96" s="25">
        <f t="shared" si="6"/>
        <v>20.23</v>
      </c>
      <c r="M96" s="26">
        <f t="shared" si="7"/>
        <v>0.10408169049856075</v>
      </c>
      <c r="N96" s="27">
        <f t="shared" si="8"/>
        <v>11</v>
      </c>
      <c r="O96" s="25">
        <f t="shared" si="9"/>
        <v>247.72</v>
      </c>
      <c r="P96" s="210"/>
    </row>
    <row r="97" spans="1:16" x14ac:dyDescent="0.25">
      <c r="A97" s="93" t="s">
        <v>67</v>
      </c>
      <c r="B97" s="22">
        <v>763</v>
      </c>
      <c r="C97" s="22"/>
      <c r="D97" s="21" t="s">
        <v>70</v>
      </c>
      <c r="E97" s="21" t="s">
        <v>30</v>
      </c>
      <c r="F97" s="21" t="s">
        <v>33</v>
      </c>
      <c r="G97" s="25">
        <v>215578.4128777718</v>
      </c>
      <c r="H97" s="25">
        <v>29585.756047998042</v>
      </c>
      <c r="I97" s="213">
        <v>8978.0752075367927</v>
      </c>
      <c r="J97" s="213">
        <v>607.19999999999709</v>
      </c>
      <c r="K97" s="24">
        <f t="shared" si="5"/>
        <v>185993</v>
      </c>
      <c r="L97" s="25">
        <f t="shared" si="6"/>
        <v>20.72</v>
      </c>
      <c r="M97" s="26">
        <f t="shared" si="7"/>
        <v>0.13723895474067022</v>
      </c>
      <c r="N97" s="27">
        <f t="shared" si="8"/>
        <v>14.8</v>
      </c>
      <c r="O97" s="25">
        <f t="shared" si="9"/>
        <v>355.04</v>
      </c>
      <c r="P97" s="143"/>
    </row>
    <row r="98" spans="1:16" x14ac:dyDescent="0.25">
      <c r="A98" s="93" t="s">
        <v>67</v>
      </c>
      <c r="B98" s="22">
        <v>612</v>
      </c>
      <c r="C98" s="22"/>
      <c r="D98" s="21" t="s">
        <v>20</v>
      </c>
      <c r="E98" s="21" t="s">
        <v>30</v>
      </c>
      <c r="F98" s="21" t="s">
        <v>33</v>
      </c>
      <c r="G98" s="25">
        <v>3632728.3390138932</v>
      </c>
      <c r="H98" s="25">
        <v>166411.30648621093</v>
      </c>
      <c r="I98" s="29">
        <v>166989.69887404927</v>
      </c>
      <c r="J98" s="29">
        <v>11497.649999999972</v>
      </c>
      <c r="K98" s="24">
        <f t="shared" si="5"/>
        <v>3466317</v>
      </c>
      <c r="L98" s="25">
        <f t="shared" si="6"/>
        <v>20.76</v>
      </c>
      <c r="M98" s="26">
        <f t="shared" si="7"/>
        <v>4.5808904755972865E-2</v>
      </c>
      <c r="N98" s="27">
        <f t="shared" si="8"/>
        <v>14.5</v>
      </c>
      <c r="O98" s="25">
        <f t="shared" si="9"/>
        <v>315.95</v>
      </c>
      <c r="P98" s="210"/>
    </row>
    <row r="99" spans="1:16" x14ac:dyDescent="0.25">
      <c r="A99" s="93" t="s">
        <v>34</v>
      </c>
      <c r="B99" s="22">
        <v>695</v>
      </c>
      <c r="C99" s="22"/>
      <c r="D99" s="21" t="s">
        <v>70</v>
      </c>
      <c r="E99" s="21" t="s">
        <v>30</v>
      </c>
      <c r="F99" s="21" t="s">
        <v>33</v>
      </c>
      <c r="G99" s="31">
        <v>845625.82433189836</v>
      </c>
      <c r="H99" s="31">
        <v>98354.66</v>
      </c>
      <c r="I99" s="213">
        <v>34515</v>
      </c>
      <c r="J99" s="213">
        <v>2568.8927129607982</v>
      </c>
      <c r="K99" s="24">
        <f t="shared" si="5"/>
        <v>747271</v>
      </c>
      <c r="L99" s="25">
        <f t="shared" si="6"/>
        <v>21.65</v>
      </c>
      <c r="M99" s="26">
        <f t="shared" si="7"/>
        <v>0.11630990583536974</v>
      </c>
      <c r="N99" s="27">
        <f t="shared" si="8"/>
        <v>13.4</v>
      </c>
      <c r="O99" s="25">
        <f t="shared" si="9"/>
        <v>329.18</v>
      </c>
      <c r="P99" s="143"/>
    </row>
    <row r="100" spans="1:16" x14ac:dyDescent="0.25">
      <c r="A100" s="93" t="s">
        <v>67</v>
      </c>
      <c r="B100" s="22">
        <v>294</v>
      </c>
      <c r="C100" s="22"/>
      <c r="D100" s="21" t="s">
        <v>70</v>
      </c>
      <c r="E100" s="21" t="s">
        <v>30</v>
      </c>
      <c r="F100" s="22" t="s">
        <v>33</v>
      </c>
      <c r="G100" s="25">
        <v>198099.47553947102</v>
      </c>
      <c r="H100" s="25">
        <v>24559.777192256282</v>
      </c>
      <c r="I100" s="213">
        <v>7863.4980556555565</v>
      </c>
      <c r="J100" s="213">
        <v>602.13999999999908</v>
      </c>
      <c r="K100" s="24">
        <f t="shared" si="5"/>
        <v>173540</v>
      </c>
      <c r="L100" s="25">
        <f t="shared" si="6"/>
        <v>22.07</v>
      </c>
      <c r="M100" s="26">
        <f t="shared" si="7"/>
        <v>0.12397699249518096</v>
      </c>
      <c r="N100" s="27">
        <f t="shared" si="8"/>
        <v>13.1</v>
      </c>
      <c r="O100" s="25">
        <f t="shared" si="9"/>
        <v>328.99</v>
      </c>
      <c r="P100" s="143"/>
    </row>
    <row r="101" spans="1:16" x14ac:dyDescent="0.25">
      <c r="A101" s="93" t="s">
        <v>9</v>
      </c>
      <c r="B101" s="22">
        <v>470</v>
      </c>
      <c r="C101" s="22"/>
      <c r="D101" s="21" t="s">
        <v>70</v>
      </c>
      <c r="E101" s="21" t="s">
        <v>30</v>
      </c>
      <c r="F101" s="22" t="s">
        <v>33</v>
      </c>
      <c r="G101" s="31">
        <v>670389.25139999983</v>
      </c>
      <c r="H101" s="31">
        <v>64026.83785310958</v>
      </c>
      <c r="I101" s="213">
        <v>27247</v>
      </c>
      <c r="J101" s="213">
        <v>2251.7000000000003</v>
      </c>
      <c r="K101" s="24">
        <f t="shared" si="5"/>
        <v>606362</v>
      </c>
      <c r="L101" s="25">
        <f t="shared" si="6"/>
        <v>22.25</v>
      </c>
      <c r="M101" s="26">
        <f t="shared" si="7"/>
        <v>9.5506957665863312E-2</v>
      </c>
      <c r="N101" s="27">
        <f t="shared" si="8"/>
        <v>12.1</v>
      </c>
      <c r="O101" s="25">
        <f t="shared" si="9"/>
        <v>297.73</v>
      </c>
      <c r="P101" s="143"/>
    </row>
    <row r="102" spans="1:16" x14ac:dyDescent="0.25">
      <c r="A102" s="93" t="s">
        <v>67</v>
      </c>
      <c r="B102" s="22">
        <v>71</v>
      </c>
      <c r="D102" s="22" t="s">
        <v>18</v>
      </c>
      <c r="E102" s="21" t="s">
        <v>30</v>
      </c>
      <c r="F102" s="22" t="s">
        <v>33</v>
      </c>
      <c r="G102" s="25">
        <v>4317075.0066419225</v>
      </c>
      <c r="H102" s="25">
        <v>189824.22296684305</v>
      </c>
      <c r="I102" s="29">
        <v>182980.23519043135</v>
      </c>
      <c r="J102" s="29">
        <v>13926.059999999961</v>
      </c>
      <c r="K102" s="24">
        <f t="shared" si="5"/>
        <v>4127251</v>
      </c>
      <c r="L102" s="25">
        <f t="shared" si="6"/>
        <v>22.56</v>
      </c>
      <c r="M102" s="26">
        <f t="shared" si="7"/>
        <v>4.3970564021888425E-2</v>
      </c>
      <c r="N102" s="27">
        <f t="shared" si="8"/>
        <v>13.1</v>
      </c>
      <c r="O102" s="25">
        <f t="shared" si="9"/>
        <v>310</v>
      </c>
      <c r="P102" s="210"/>
    </row>
    <row r="103" spans="1:16" x14ac:dyDescent="0.25">
      <c r="A103" s="93" t="s">
        <v>67</v>
      </c>
      <c r="B103" s="22">
        <v>25</v>
      </c>
      <c r="D103" s="22" t="s">
        <v>18</v>
      </c>
      <c r="E103" s="21" t="s">
        <v>30</v>
      </c>
      <c r="F103" s="22" t="s">
        <v>33</v>
      </c>
      <c r="G103" s="25">
        <v>1137091.6966564937</v>
      </c>
      <c r="H103" s="25">
        <v>95605.491793729612</v>
      </c>
      <c r="I103" s="29">
        <v>45142.457972969249</v>
      </c>
      <c r="J103" s="30">
        <v>3451.319999999992</v>
      </c>
      <c r="K103" s="24">
        <f t="shared" si="5"/>
        <v>1041486</v>
      </c>
      <c r="L103" s="25">
        <f t="shared" si="6"/>
        <v>23.07</v>
      </c>
      <c r="M103" s="26">
        <f t="shared" si="7"/>
        <v>8.4078963969966683E-2</v>
      </c>
      <c r="N103" s="27">
        <f t="shared" si="8"/>
        <v>13.1</v>
      </c>
      <c r="O103" s="25">
        <f t="shared" si="9"/>
        <v>329.47</v>
      </c>
      <c r="P103" s="143"/>
    </row>
    <row r="104" spans="1:16" x14ac:dyDescent="0.25">
      <c r="A104" s="93" t="s">
        <v>67</v>
      </c>
      <c r="B104" s="22">
        <v>755</v>
      </c>
      <c r="C104" s="22"/>
      <c r="D104" s="21" t="s">
        <v>70</v>
      </c>
      <c r="E104" s="21" t="s">
        <v>30</v>
      </c>
      <c r="F104" s="21" t="s">
        <v>33</v>
      </c>
      <c r="G104" s="25">
        <v>917938.47196616034</v>
      </c>
      <c r="H104" s="25">
        <v>63467.312543566593</v>
      </c>
      <c r="I104" s="213">
        <v>36869.5871876975</v>
      </c>
      <c r="J104" s="213">
        <v>2623.6099999999838</v>
      </c>
      <c r="K104" s="24">
        <f t="shared" si="5"/>
        <v>854471</v>
      </c>
      <c r="L104" s="25">
        <f t="shared" si="6"/>
        <v>23.18</v>
      </c>
      <c r="M104" s="26">
        <f t="shared" si="7"/>
        <v>6.9141140154659844E-2</v>
      </c>
      <c r="N104" s="27">
        <f t="shared" si="8"/>
        <v>14.1</v>
      </c>
      <c r="O104" s="25">
        <f t="shared" si="9"/>
        <v>349.88</v>
      </c>
      <c r="P104" s="143"/>
    </row>
    <row r="105" spans="1:16" x14ac:dyDescent="0.25">
      <c r="A105" s="93" t="s">
        <v>68</v>
      </c>
      <c r="B105" s="21">
        <v>615</v>
      </c>
      <c r="D105" s="21" t="s">
        <v>20</v>
      </c>
      <c r="E105" s="21" t="s">
        <v>30</v>
      </c>
      <c r="F105" s="22" t="s">
        <v>33</v>
      </c>
      <c r="G105" s="24">
        <v>402512.78773681901</v>
      </c>
      <c r="H105" s="24">
        <v>19893.043747909385</v>
      </c>
      <c r="I105" s="28">
        <v>15909</v>
      </c>
      <c r="J105" s="32">
        <v>4216.1559999999999</v>
      </c>
      <c r="K105" s="24">
        <f t="shared" si="5"/>
        <v>382620</v>
      </c>
      <c r="L105" s="25">
        <f t="shared" si="6"/>
        <v>24.05</v>
      </c>
      <c r="M105" s="26">
        <f t="shared" si="7"/>
        <v>4.9422140995223122E-2</v>
      </c>
      <c r="N105" s="27">
        <f t="shared" si="8"/>
        <v>3.8</v>
      </c>
      <c r="O105" s="25">
        <f t="shared" si="9"/>
        <v>95.47</v>
      </c>
      <c r="P105" s="143"/>
    </row>
    <row r="106" spans="1:16" x14ac:dyDescent="0.25">
      <c r="A106" s="93" t="s">
        <v>68</v>
      </c>
      <c r="B106" s="21">
        <v>227</v>
      </c>
      <c r="D106" s="21" t="s">
        <v>20</v>
      </c>
      <c r="E106" s="21" t="s">
        <v>30</v>
      </c>
      <c r="F106" s="21" t="s">
        <v>33</v>
      </c>
      <c r="G106" s="24">
        <v>164296.46062766205</v>
      </c>
      <c r="H106" s="24">
        <v>8248.1496162456751</v>
      </c>
      <c r="I106" s="28">
        <v>6481</v>
      </c>
      <c r="J106" s="28">
        <v>1438.75</v>
      </c>
      <c r="K106" s="24">
        <f t="shared" si="5"/>
        <v>156048</v>
      </c>
      <c r="L106" s="25">
        <f t="shared" si="6"/>
        <v>24.08</v>
      </c>
      <c r="M106" s="26">
        <f t="shared" si="7"/>
        <v>5.0202844204526711E-2</v>
      </c>
      <c r="N106" s="27">
        <f t="shared" si="8"/>
        <v>4.5</v>
      </c>
      <c r="O106" s="25">
        <f t="shared" si="9"/>
        <v>114.19</v>
      </c>
      <c r="P106" s="143"/>
    </row>
    <row r="107" spans="1:16" x14ac:dyDescent="0.25">
      <c r="A107" s="93" t="s">
        <v>67</v>
      </c>
      <c r="B107" s="22">
        <v>23</v>
      </c>
      <c r="C107" s="22"/>
      <c r="D107" s="21" t="s">
        <v>19</v>
      </c>
      <c r="E107" s="21" t="s">
        <v>30</v>
      </c>
      <c r="F107" s="22" t="s">
        <v>33</v>
      </c>
      <c r="G107" s="25">
        <v>3126045.0354174864</v>
      </c>
      <c r="H107" s="25">
        <v>143960.0811094841</v>
      </c>
      <c r="I107" s="29">
        <v>123409.73223549298</v>
      </c>
      <c r="J107" s="30">
        <v>9793.3599999999933</v>
      </c>
      <c r="K107" s="24">
        <f t="shared" si="5"/>
        <v>2982085</v>
      </c>
      <c r="L107" s="25">
        <f t="shared" si="6"/>
        <v>24.16</v>
      </c>
      <c r="M107" s="26">
        <f t="shared" si="7"/>
        <v>4.6051825702587194E-2</v>
      </c>
      <c r="N107" s="27">
        <f t="shared" si="8"/>
        <v>12.6</v>
      </c>
      <c r="O107" s="25">
        <f t="shared" si="9"/>
        <v>319.2</v>
      </c>
      <c r="P107" s="143"/>
    </row>
    <row r="108" spans="1:16" x14ac:dyDescent="0.25">
      <c r="A108" s="93" t="s">
        <v>69</v>
      </c>
      <c r="B108" s="22">
        <v>777</v>
      </c>
      <c r="C108" s="22"/>
      <c r="D108" s="21" t="s">
        <v>70</v>
      </c>
      <c r="E108" s="21" t="s">
        <v>30</v>
      </c>
      <c r="F108" s="22" t="s">
        <v>33</v>
      </c>
      <c r="G108" s="31">
        <v>507508</v>
      </c>
      <c r="H108" s="31">
        <v>43959</v>
      </c>
      <c r="I108" s="213">
        <v>19166</v>
      </c>
      <c r="J108" s="213">
        <v>2587.52</v>
      </c>
      <c r="K108" s="24">
        <f t="shared" si="5"/>
        <v>463549</v>
      </c>
      <c r="L108" s="25">
        <f t="shared" si="6"/>
        <v>24.19</v>
      </c>
      <c r="M108" s="26">
        <f t="shared" si="7"/>
        <v>8.6617353815112277E-2</v>
      </c>
      <c r="N108" s="27">
        <f t="shared" si="8"/>
        <v>7.4</v>
      </c>
      <c r="O108" s="25">
        <f t="shared" si="9"/>
        <v>196.14</v>
      </c>
      <c r="P108" s="143"/>
    </row>
    <row r="109" spans="1:16" x14ac:dyDescent="0.25">
      <c r="A109" s="93" t="s">
        <v>69</v>
      </c>
      <c r="B109" s="22">
        <v>776</v>
      </c>
      <c r="C109" s="22"/>
      <c r="D109" s="21" t="s">
        <v>70</v>
      </c>
      <c r="E109" s="21" t="s">
        <v>30</v>
      </c>
      <c r="F109" s="22" t="s">
        <v>33</v>
      </c>
      <c r="G109" s="31">
        <v>495765</v>
      </c>
      <c r="H109" s="31">
        <v>42781</v>
      </c>
      <c r="I109" s="213">
        <v>18579</v>
      </c>
      <c r="J109" s="213">
        <v>2591</v>
      </c>
      <c r="K109" s="24">
        <f t="shared" si="5"/>
        <v>452984</v>
      </c>
      <c r="L109" s="25">
        <f t="shared" si="6"/>
        <v>24.38</v>
      </c>
      <c r="M109" s="26">
        <f t="shared" si="7"/>
        <v>8.6292900870372058E-2</v>
      </c>
      <c r="N109" s="27">
        <f t="shared" si="8"/>
        <v>7.2</v>
      </c>
      <c r="O109" s="25">
        <f t="shared" si="9"/>
        <v>191.34</v>
      </c>
      <c r="P109" s="143"/>
    </row>
    <row r="110" spans="1:16" x14ac:dyDescent="0.25">
      <c r="A110" s="93" t="s">
        <v>67</v>
      </c>
      <c r="B110" s="22">
        <v>761</v>
      </c>
      <c r="C110" s="22"/>
      <c r="D110" s="21" t="s">
        <v>70</v>
      </c>
      <c r="E110" s="21" t="s">
        <v>30</v>
      </c>
      <c r="F110" s="21" t="s">
        <v>33</v>
      </c>
      <c r="G110" s="25">
        <v>233290.26407471535</v>
      </c>
      <c r="H110" s="25">
        <v>22398.191725464072</v>
      </c>
      <c r="I110" s="213">
        <v>8360.3702999988745</v>
      </c>
      <c r="J110" s="213">
        <v>586.96000000000038</v>
      </c>
      <c r="K110" s="24">
        <f t="shared" si="5"/>
        <v>210892</v>
      </c>
      <c r="L110" s="25">
        <f t="shared" si="6"/>
        <v>25.23</v>
      </c>
      <c r="M110" s="26">
        <f t="shared" si="7"/>
        <v>9.6009972016194614E-2</v>
      </c>
      <c r="N110" s="27">
        <f t="shared" si="8"/>
        <v>14.2</v>
      </c>
      <c r="O110" s="25">
        <f t="shared" si="9"/>
        <v>397.46</v>
      </c>
      <c r="P110" s="143"/>
    </row>
    <row r="111" spans="1:16" x14ac:dyDescent="0.25">
      <c r="A111" s="93" t="s">
        <v>67</v>
      </c>
      <c r="B111" s="22">
        <v>46</v>
      </c>
      <c r="C111" s="22"/>
      <c r="D111" s="21" t="s">
        <v>19</v>
      </c>
      <c r="E111" s="21" t="s">
        <v>30</v>
      </c>
      <c r="F111" s="22" t="s">
        <v>33</v>
      </c>
      <c r="G111" s="25">
        <v>2800258.8552293992</v>
      </c>
      <c r="H111" s="25">
        <v>146615.89325472456</v>
      </c>
      <c r="I111" s="29">
        <v>104437.96245305098</v>
      </c>
      <c r="J111" s="30">
        <v>9008.0999999999967</v>
      </c>
      <c r="K111" s="24">
        <f t="shared" si="5"/>
        <v>2653643</v>
      </c>
      <c r="L111" s="25">
        <f t="shared" si="6"/>
        <v>25.41</v>
      </c>
      <c r="M111" s="26">
        <f t="shared" si="7"/>
        <v>5.2357978613628446E-2</v>
      </c>
      <c r="N111" s="27">
        <f t="shared" si="8"/>
        <v>11.6</v>
      </c>
      <c r="O111" s="25">
        <f t="shared" si="9"/>
        <v>310.86</v>
      </c>
      <c r="P111" s="143"/>
    </row>
    <row r="112" spans="1:16" x14ac:dyDescent="0.25">
      <c r="A112" s="93" t="s">
        <v>9</v>
      </c>
      <c r="B112" s="22">
        <v>472</v>
      </c>
      <c r="C112" s="22"/>
      <c r="D112" s="21" t="s">
        <v>70</v>
      </c>
      <c r="E112" s="21" t="s">
        <v>30</v>
      </c>
      <c r="F112" s="21" t="s">
        <v>33</v>
      </c>
      <c r="G112" s="31">
        <v>435460.78319999995</v>
      </c>
      <c r="H112" s="31">
        <v>35299.708526788716</v>
      </c>
      <c r="I112" s="213">
        <v>15022</v>
      </c>
      <c r="J112" s="213">
        <v>1649.56</v>
      </c>
      <c r="K112" s="24">
        <f t="shared" si="5"/>
        <v>400161</v>
      </c>
      <c r="L112" s="25">
        <f t="shared" si="6"/>
        <v>26.64</v>
      </c>
      <c r="M112" s="26">
        <f t="shared" si="7"/>
        <v>8.1062887609275575E-2</v>
      </c>
      <c r="N112" s="27">
        <f t="shared" si="8"/>
        <v>9.1</v>
      </c>
      <c r="O112" s="25">
        <f t="shared" si="9"/>
        <v>263.99</v>
      </c>
      <c r="P112" s="143"/>
    </row>
    <row r="113" spans="1:16" x14ac:dyDescent="0.25">
      <c r="A113" s="93" t="s">
        <v>68</v>
      </c>
      <c r="B113" s="21">
        <v>705</v>
      </c>
      <c r="D113" s="21" t="s">
        <v>20</v>
      </c>
      <c r="E113" s="21" t="s">
        <v>30</v>
      </c>
      <c r="F113" s="22" t="s">
        <v>33</v>
      </c>
      <c r="G113" s="24">
        <v>666383.37506886863</v>
      </c>
      <c r="H113" s="24">
        <v>23675.334657295811</v>
      </c>
      <c r="I113" s="28">
        <v>23749</v>
      </c>
      <c r="J113" s="32">
        <v>4541.2</v>
      </c>
      <c r="K113" s="24">
        <f t="shared" si="5"/>
        <v>642708</v>
      </c>
      <c r="L113" s="25">
        <f t="shared" si="6"/>
        <v>27.06</v>
      </c>
      <c r="M113" s="26">
        <f t="shared" si="7"/>
        <v>3.5528099203929027E-2</v>
      </c>
      <c r="N113" s="27">
        <f t="shared" si="8"/>
        <v>5.2</v>
      </c>
      <c r="O113" s="25">
        <f t="shared" si="9"/>
        <v>146.74</v>
      </c>
      <c r="P113" s="143"/>
    </row>
    <row r="114" spans="1:16" x14ac:dyDescent="0.25">
      <c r="A114" s="93" t="s">
        <v>9</v>
      </c>
      <c r="B114" s="22">
        <v>480</v>
      </c>
      <c r="C114" s="22"/>
      <c r="D114" s="21" t="s">
        <v>70</v>
      </c>
      <c r="E114" s="21" t="s">
        <v>30</v>
      </c>
      <c r="F114" s="21" t="s">
        <v>33</v>
      </c>
      <c r="G114" s="31">
        <v>781898.36819999968</v>
      </c>
      <c r="H114" s="31">
        <v>62454.776542736683</v>
      </c>
      <c r="I114" s="213">
        <v>26578</v>
      </c>
      <c r="J114" s="213">
        <v>3271.29</v>
      </c>
      <c r="K114" s="24">
        <f t="shared" si="5"/>
        <v>719444</v>
      </c>
      <c r="L114" s="25">
        <f t="shared" si="6"/>
        <v>27.07</v>
      </c>
      <c r="M114" s="26">
        <f t="shared" si="7"/>
        <v>7.9875824125983527E-2</v>
      </c>
      <c r="N114" s="27">
        <f t="shared" si="8"/>
        <v>8.1</v>
      </c>
      <c r="O114" s="25">
        <f t="shared" si="9"/>
        <v>239.02</v>
      </c>
      <c r="P114" s="143"/>
    </row>
    <row r="115" spans="1:16" x14ac:dyDescent="0.25">
      <c r="A115" s="93" t="s">
        <v>69</v>
      </c>
      <c r="B115" s="22">
        <v>747</v>
      </c>
      <c r="C115" s="22"/>
      <c r="D115" s="21" t="s">
        <v>70</v>
      </c>
      <c r="E115" s="21" t="s">
        <v>30</v>
      </c>
      <c r="F115" s="21" t="s">
        <v>33</v>
      </c>
      <c r="G115" s="31">
        <v>766116</v>
      </c>
      <c r="H115" s="31">
        <v>59604</v>
      </c>
      <c r="I115" s="213">
        <v>25962</v>
      </c>
      <c r="J115" s="213">
        <v>3979.18</v>
      </c>
      <c r="K115" s="24">
        <f t="shared" si="5"/>
        <v>706512</v>
      </c>
      <c r="L115" s="25">
        <f t="shared" si="6"/>
        <v>27.21</v>
      </c>
      <c r="M115" s="26">
        <f t="shared" si="7"/>
        <v>7.7800228685995329E-2</v>
      </c>
      <c r="N115" s="27">
        <f t="shared" si="8"/>
        <v>6.5</v>
      </c>
      <c r="O115" s="25">
        <f t="shared" si="9"/>
        <v>192.53</v>
      </c>
      <c r="P115" s="143"/>
    </row>
    <row r="116" spans="1:16" x14ac:dyDescent="0.25">
      <c r="A116" s="93" t="s">
        <v>9</v>
      </c>
      <c r="B116" s="22">
        <v>493</v>
      </c>
      <c r="C116" s="22"/>
      <c r="D116" s="21" t="s">
        <v>70</v>
      </c>
      <c r="E116" s="21" t="s">
        <v>30</v>
      </c>
      <c r="F116" s="21" t="s">
        <v>33</v>
      </c>
      <c r="G116" s="31">
        <v>442316.79210000002</v>
      </c>
      <c r="H116" s="31">
        <v>35003.625230664671</v>
      </c>
      <c r="I116" s="213">
        <v>14896</v>
      </c>
      <c r="J116" s="213">
        <v>1538.24</v>
      </c>
      <c r="K116" s="24">
        <f t="shared" si="5"/>
        <v>407313</v>
      </c>
      <c r="L116" s="25">
        <f t="shared" si="6"/>
        <v>27.34</v>
      </c>
      <c r="M116" s="26">
        <f t="shared" si="7"/>
        <v>7.9137002835630466E-2</v>
      </c>
      <c r="N116" s="27">
        <f t="shared" si="8"/>
        <v>9.6999999999999993</v>
      </c>
      <c r="O116" s="25">
        <f t="shared" si="9"/>
        <v>287.55</v>
      </c>
      <c r="P116" s="143"/>
    </row>
    <row r="117" spans="1:16" x14ac:dyDescent="0.25">
      <c r="A117" s="93" t="s">
        <v>67</v>
      </c>
      <c r="B117" s="22">
        <v>766</v>
      </c>
      <c r="C117" s="22"/>
      <c r="D117" s="21" t="s">
        <v>70</v>
      </c>
      <c r="E117" s="21" t="s">
        <v>30</v>
      </c>
      <c r="F117" s="21" t="s">
        <v>33</v>
      </c>
      <c r="G117" s="25">
        <v>504125.41032738693</v>
      </c>
      <c r="H117" s="25">
        <v>53445.232945470576</v>
      </c>
      <c r="I117" s="213">
        <v>16073.869187550788</v>
      </c>
      <c r="J117" s="213">
        <v>1310.5399999999991</v>
      </c>
      <c r="K117" s="24">
        <f t="shared" si="5"/>
        <v>450680</v>
      </c>
      <c r="L117" s="25">
        <f t="shared" si="6"/>
        <v>28.04</v>
      </c>
      <c r="M117" s="26">
        <f t="shared" si="7"/>
        <v>0.10601574895969319</v>
      </c>
      <c r="N117" s="27">
        <f t="shared" si="8"/>
        <v>12.3</v>
      </c>
      <c r="O117" s="25">
        <f t="shared" si="9"/>
        <v>384.67</v>
      </c>
      <c r="P117" s="143"/>
    </row>
    <row r="118" spans="1:16" x14ac:dyDescent="0.25">
      <c r="A118" s="93" t="s">
        <v>67</v>
      </c>
      <c r="B118" s="22">
        <v>351</v>
      </c>
      <c r="C118" s="22"/>
      <c r="D118" s="21" t="s">
        <v>70</v>
      </c>
      <c r="E118" s="21" t="s">
        <v>30</v>
      </c>
      <c r="F118" s="22" t="s">
        <v>33</v>
      </c>
      <c r="G118" s="25">
        <v>21544.531924426235</v>
      </c>
      <c r="H118" s="25">
        <v>2551.1320408364522</v>
      </c>
      <c r="I118" s="213">
        <v>659.37134312226362</v>
      </c>
      <c r="J118" s="213">
        <v>45.599999999999987</v>
      </c>
      <c r="K118" s="24">
        <f t="shared" si="5"/>
        <v>18993</v>
      </c>
      <c r="L118" s="25">
        <f t="shared" si="6"/>
        <v>28.8</v>
      </c>
      <c r="M118" s="26">
        <f t="shared" si="7"/>
        <v>0.11841204300865278</v>
      </c>
      <c r="N118" s="27">
        <f t="shared" si="8"/>
        <v>14.5</v>
      </c>
      <c r="O118" s="25">
        <f t="shared" si="9"/>
        <v>472.47</v>
      </c>
      <c r="P118" s="143"/>
    </row>
    <row r="119" spans="1:16" x14ac:dyDescent="0.25">
      <c r="A119" s="93" t="s">
        <v>9</v>
      </c>
      <c r="B119" s="21">
        <v>445</v>
      </c>
      <c r="D119" s="21" t="s">
        <v>20</v>
      </c>
      <c r="E119" s="21" t="s">
        <v>30</v>
      </c>
      <c r="F119" s="22" t="s">
        <v>33</v>
      </c>
      <c r="G119" s="24">
        <v>1047278.0915999999</v>
      </c>
      <c r="H119" s="25">
        <v>75583.485871665485</v>
      </c>
      <c r="I119" s="28">
        <v>32165</v>
      </c>
      <c r="J119" s="32">
        <v>5426.3499999999995</v>
      </c>
      <c r="K119" s="24">
        <f t="shared" si="5"/>
        <v>971695</v>
      </c>
      <c r="L119" s="25">
        <f t="shared" si="6"/>
        <v>30.21</v>
      </c>
      <c r="M119" s="26">
        <f t="shared" si="7"/>
        <v>7.2171361625823105E-2</v>
      </c>
      <c r="N119" s="27">
        <f t="shared" si="8"/>
        <v>5.9</v>
      </c>
      <c r="O119" s="25">
        <f t="shared" si="9"/>
        <v>193</v>
      </c>
      <c r="P119" s="143"/>
    </row>
    <row r="120" spans="1:16" x14ac:dyDescent="0.25">
      <c r="A120" s="93" t="s">
        <v>9</v>
      </c>
      <c r="C120" s="21" t="s">
        <v>36</v>
      </c>
      <c r="D120" s="21" t="s">
        <v>94</v>
      </c>
      <c r="E120" s="21" t="s">
        <v>31</v>
      </c>
      <c r="F120" s="207" t="s">
        <v>33</v>
      </c>
      <c r="G120" s="207">
        <v>2806631.56</v>
      </c>
      <c r="H120" s="215">
        <v>180761.59</v>
      </c>
      <c r="I120" s="216">
        <v>85669</v>
      </c>
      <c r="J120" s="24">
        <v>30031.96</v>
      </c>
      <c r="K120" s="24">
        <f t="shared" si="5"/>
        <v>2625870</v>
      </c>
      <c r="L120" s="25">
        <f t="shared" si="6"/>
        <v>30.65</v>
      </c>
      <c r="M120" s="26">
        <f t="shared" si="7"/>
        <v>6.4405172583465134E-2</v>
      </c>
      <c r="N120" s="27">
        <f t="shared" si="8"/>
        <v>2.9</v>
      </c>
      <c r="O120" s="25">
        <f t="shared" si="9"/>
        <v>93.45</v>
      </c>
      <c r="P120" s="173"/>
    </row>
    <row r="121" spans="1:16" x14ac:dyDescent="0.25">
      <c r="A121" s="93" t="s">
        <v>68</v>
      </c>
      <c r="B121" s="21">
        <v>804</v>
      </c>
      <c r="D121" s="21" t="s">
        <v>20</v>
      </c>
      <c r="E121" s="21" t="s">
        <v>30</v>
      </c>
      <c r="F121" s="21" t="s">
        <v>33</v>
      </c>
      <c r="G121" s="24">
        <v>457037.3336297127</v>
      </c>
      <c r="H121" s="24">
        <v>17159.626646699609</v>
      </c>
      <c r="I121" s="28">
        <v>13939</v>
      </c>
      <c r="J121" s="28">
        <v>4462.5300000000007</v>
      </c>
      <c r="K121" s="24">
        <f t="shared" si="5"/>
        <v>439878</v>
      </c>
      <c r="L121" s="25">
        <f t="shared" si="6"/>
        <v>31.56</v>
      </c>
      <c r="M121" s="26">
        <f t="shared" si="7"/>
        <v>3.7545349983601504E-2</v>
      </c>
      <c r="N121" s="27">
        <f t="shared" si="8"/>
        <v>3.1</v>
      </c>
      <c r="O121" s="25">
        <f t="shared" si="9"/>
        <v>102.42</v>
      </c>
      <c r="P121" s="143"/>
    </row>
    <row r="122" spans="1:16" x14ac:dyDescent="0.25">
      <c r="A122" s="93" t="s">
        <v>69</v>
      </c>
      <c r="C122" s="21" t="s">
        <v>95</v>
      </c>
      <c r="D122" s="21" t="s">
        <v>94</v>
      </c>
      <c r="E122" s="21" t="s">
        <v>31</v>
      </c>
      <c r="F122" s="207" t="s">
        <v>33</v>
      </c>
      <c r="G122" s="207">
        <v>1386483.1417176283</v>
      </c>
      <c r="H122" s="215">
        <v>64948.516529291854</v>
      </c>
      <c r="I122" s="216">
        <v>40864</v>
      </c>
      <c r="J122" s="24">
        <v>14174.552867145263</v>
      </c>
      <c r="K122" s="24">
        <f t="shared" si="5"/>
        <v>1321535</v>
      </c>
      <c r="L122" s="25">
        <f t="shared" si="6"/>
        <v>32.340000000000003</v>
      </c>
      <c r="M122" s="26">
        <f t="shared" si="7"/>
        <v>4.6844072297071819E-2</v>
      </c>
      <c r="N122" s="27">
        <f t="shared" si="8"/>
        <v>2.9</v>
      </c>
      <c r="O122" s="25">
        <f t="shared" si="9"/>
        <v>97.81</v>
      </c>
      <c r="P122" s="143"/>
    </row>
    <row r="123" spans="1:16" x14ac:dyDescent="0.25">
      <c r="A123" s="93" t="s">
        <v>9</v>
      </c>
      <c r="B123" s="21">
        <v>446</v>
      </c>
      <c r="D123" s="21" t="s">
        <v>20</v>
      </c>
      <c r="E123" s="21" t="s">
        <v>30</v>
      </c>
      <c r="F123" s="22" t="s">
        <v>33</v>
      </c>
      <c r="G123" s="24">
        <v>1294129.3844999997</v>
      </c>
      <c r="H123" s="25">
        <v>83664.67996190823</v>
      </c>
      <c r="I123" s="28">
        <v>35604</v>
      </c>
      <c r="J123" s="32">
        <v>6634.17</v>
      </c>
      <c r="K123" s="24">
        <f t="shared" si="5"/>
        <v>1210465</v>
      </c>
      <c r="L123" s="25">
        <f t="shared" si="6"/>
        <v>34</v>
      </c>
      <c r="M123" s="26">
        <f t="shared" si="7"/>
        <v>6.464939361085055E-2</v>
      </c>
      <c r="N123" s="27">
        <f t="shared" si="8"/>
        <v>5.4</v>
      </c>
      <c r="O123" s="25">
        <f t="shared" si="9"/>
        <v>195.07</v>
      </c>
      <c r="P123" s="143"/>
    </row>
    <row r="124" spans="1:16" x14ac:dyDescent="0.25">
      <c r="A124" s="93" t="s">
        <v>34</v>
      </c>
      <c r="B124" s="22">
        <v>600</v>
      </c>
      <c r="C124" s="22"/>
      <c r="D124" s="21" t="s">
        <v>70</v>
      </c>
      <c r="E124" s="21" t="s">
        <v>30</v>
      </c>
      <c r="F124" s="22" t="s">
        <v>33</v>
      </c>
      <c r="G124" s="31">
        <v>196463.55612423184</v>
      </c>
      <c r="H124" s="31">
        <v>12714.96</v>
      </c>
      <c r="I124" s="213">
        <v>4942</v>
      </c>
      <c r="J124" s="213">
        <v>596.82874288831738</v>
      </c>
      <c r="K124" s="24">
        <f t="shared" si="5"/>
        <v>183749</v>
      </c>
      <c r="L124" s="25">
        <f t="shared" si="6"/>
        <v>37.18</v>
      </c>
      <c r="M124" s="26">
        <f t="shared" si="7"/>
        <v>6.4719178716076062E-2</v>
      </c>
      <c r="N124" s="27">
        <f t="shared" si="8"/>
        <v>8.3000000000000007</v>
      </c>
      <c r="O124" s="25">
        <f t="shared" si="9"/>
        <v>329.18</v>
      </c>
      <c r="P124" s="143"/>
    </row>
    <row r="125" spans="1:16" x14ac:dyDescent="0.25">
      <c r="A125" s="93" t="s">
        <v>10</v>
      </c>
      <c r="C125" s="21" t="s">
        <v>7</v>
      </c>
      <c r="D125" s="21" t="s">
        <v>94</v>
      </c>
      <c r="E125" s="21" t="s">
        <v>31</v>
      </c>
      <c r="F125" s="207" t="s">
        <v>33</v>
      </c>
      <c r="G125" s="207">
        <v>1489200</v>
      </c>
      <c r="H125" s="215">
        <v>70394</v>
      </c>
      <c r="I125" s="216">
        <v>36263</v>
      </c>
      <c r="J125" s="24">
        <v>16562</v>
      </c>
      <c r="K125" s="24">
        <f t="shared" si="5"/>
        <v>1418806</v>
      </c>
      <c r="L125" s="25">
        <f t="shared" si="6"/>
        <v>39.130000000000003</v>
      </c>
      <c r="M125" s="26">
        <f t="shared" si="7"/>
        <v>4.7269674993284987E-2</v>
      </c>
      <c r="N125" s="27">
        <f t="shared" si="8"/>
        <v>2.2000000000000002</v>
      </c>
      <c r="O125" s="25">
        <f t="shared" si="9"/>
        <v>89.92</v>
      </c>
      <c r="P125" s="143"/>
    </row>
    <row r="126" spans="1:16" x14ac:dyDescent="0.25">
      <c r="A126" s="93" t="s">
        <v>9</v>
      </c>
      <c r="B126" s="22">
        <v>490</v>
      </c>
      <c r="C126" s="22"/>
      <c r="D126" s="21" t="s">
        <v>70</v>
      </c>
      <c r="E126" s="21" t="s">
        <v>30</v>
      </c>
      <c r="F126" s="21" t="s">
        <v>33</v>
      </c>
      <c r="G126" s="31">
        <v>1128260.4125999999</v>
      </c>
      <c r="H126" s="31">
        <v>63648.509196951083</v>
      </c>
      <c r="I126" s="213">
        <v>27086</v>
      </c>
      <c r="J126" s="213">
        <v>4428.5</v>
      </c>
      <c r="K126" s="24">
        <f t="shared" si="5"/>
        <v>1064612</v>
      </c>
      <c r="L126" s="25">
        <f t="shared" si="6"/>
        <v>39.299999999999997</v>
      </c>
      <c r="M126" s="26">
        <f t="shared" si="7"/>
        <v>5.6412959708723086E-2</v>
      </c>
      <c r="N126" s="27">
        <f t="shared" si="8"/>
        <v>6.1</v>
      </c>
      <c r="O126" s="25">
        <f t="shared" si="9"/>
        <v>254.77</v>
      </c>
      <c r="P126" s="143"/>
    </row>
    <row r="127" spans="1:16" x14ac:dyDescent="0.25">
      <c r="A127" s="93" t="s">
        <v>9</v>
      </c>
      <c r="B127" s="22">
        <v>484</v>
      </c>
      <c r="C127" s="22"/>
      <c r="D127" s="21" t="s">
        <v>70</v>
      </c>
      <c r="E127" s="21" t="s">
        <v>30</v>
      </c>
      <c r="F127" s="21" t="s">
        <v>33</v>
      </c>
      <c r="G127" s="31">
        <v>181296.04109999997</v>
      </c>
      <c r="H127" s="31">
        <v>9758.9994349456483</v>
      </c>
      <c r="I127" s="213">
        <v>4153</v>
      </c>
      <c r="J127" s="213">
        <v>640.09</v>
      </c>
      <c r="K127" s="24">
        <f t="shared" si="5"/>
        <v>171537</v>
      </c>
      <c r="L127" s="25">
        <f t="shared" si="6"/>
        <v>41.3</v>
      </c>
      <c r="M127" s="26">
        <f t="shared" si="7"/>
        <v>5.3829081847202288E-2</v>
      </c>
      <c r="N127" s="27">
        <f t="shared" si="8"/>
        <v>6.5</v>
      </c>
      <c r="O127" s="25">
        <f t="shared" si="9"/>
        <v>283.24</v>
      </c>
      <c r="P127" s="143"/>
    </row>
    <row r="128" spans="1:16" x14ac:dyDescent="0.25">
      <c r="A128" s="93" t="s">
        <v>9</v>
      </c>
      <c r="B128" s="21">
        <v>489</v>
      </c>
      <c r="D128" s="21" t="s">
        <v>20</v>
      </c>
      <c r="E128" s="21" t="s">
        <v>30</v>
      </c>
      <c r="F128" s="22" t="s">
        <v>33</v>
      </c>
      <c r="G128" s="24">
        <v>241908.97919999994</v>
      </c>
      <c r="H128" s="25">
        <v>12393.200823477811</v>
      </c>
      <c r="I128" s="28">
        <v>5274</v>
      </c>
      <c r="J128" s="32">
        <v>1268.8000000000002</v>
      </c>
      <c r="K128" s="24">
        <f t="shared" si="5"/>
        <v>229516</v>
      </c>
      <c r="L128" s="25">
        <f t="shared" si="6"/>
        <v>43.52</v>
      </c>
      <c r="M128" s="26">
        <f t="shared" si="7"/>
        <v>5.1230842544425129E-2</v>
      </c>
      <c r="N128" s="27">
        <f t="shared" si="8"/>
        <v>4.2</v>
      </c>
      <c r="O128" s="25">
        <f t="shared" si="9"/>
        <v>190.66</v>
      </c>
      <c r="P128" s="143"/>
    </row>
    <row r="129" spans="1:16" x14ac:dyDescent="0.25">
      <c r="A129" s="93" t="s">
        <v>34</v>
      </c>
      <c r="C129" s="21" t="s">
        <v>32</v>
      </c>
      <c r="D129" s="21" t="s">
        <v>94</v>
      </c>
      <c r="E129" s="21" t="s">
        <v>31</v>
      </c>
      <c r="F129" s="207" t="s">
        <v>33</v>
      </c>
      <c r="G129" s="207">
        <v>6189653.225125283</v>
      </c>
      <c r="H129" s="215">
        <v>540665.18000000005</v>
      </c>
      <c r="I129" s="216">
        <v>128702</v>
      </c>
      <c r="J129" s="24">
        <v>51304</v>
      </c>
      <c r="K129" s="24">
        <f t="shared" si="5"/>
        <v>5648988</v>
      </c>
      <c r="L129" s="25">
        <f t="shared" si="6"/>
        <v>43.89</v>
      </c>
      <c r="M129" s="26">
        <f t="shared" si="7"/>
        <v>8.7349833720136494E-2</v>
      </c>
      <c r="N129" s="27">
        <f t="shared" si="8"/>
        <v>2.5</v>
      </c>
      <c r="O129" s="25">
        <f t="shared" si="9"/>
        <v>120.65</v>
      </c>
      <c r="P129" s="173"/>
    </row>
    <row r="130" spans="1:16" x14ac:dyDescent="0.25">
      <c r="A130" s="93" t="s">
        <v>9</v>
      </c>
      <c r="B130" s="21">
        <v>442</v>
      </c>
      <c r="D130" s="21" t="s">
        <v>20</v>
      </c>
      <c r="E130" s="21" t="s">
        <v>30</v>
      </c>
      <c r="F130" s="22" t="s">
        <v>33</v>
      </c>
      <c r="G130" s="24">
        <v>1557326.8239</v>
      </c>
      <c r="H130" s="25">
        <v>77524.476368478659</v>
      </c>
      <c r="I130" s="28">
        <v>32991</v>
      </c>
      <c r="J130" s="32">
        <v>7911.8700000000008</v>
      </c>
      <c r="K130" s="24">
        <f t="shared" si="5"/>
        <v>1479802</v>
      </c>
      <c r="L130" s="25">
        <f t="shared" si="6"/>
        <v>44.85</v>
      </c>
      <c r="M130" s="26">
        <f t="shared" si="7"/>
        <v>4.9780479716091189E-2</v>
      </c>
      <c r="N130" s="27">
        <f t="shared" si="8"/>
        <v>4.2</v>
      </c>
      <c r="O130" s="25">
        <f t="shared" si="9"/>
        <v>196.83</v>
      </c>
      <c r="P130" s="143"/>
    </row>
    <row r="131" spans="1:16" x14ac:dyDescent="0.25">
      <c r="A131" s="93" t="s">
        <v>9</v>
      </c>
      <c r="B131" s="21">
        <v>440</v>
      </c>
      <c r="D131" s="21" t="s">
        <v>20</v>
      </c>
      <c r="E131" s="21" t="s">
        <v>30</v>
      </c>
      <c r="F131" s="21" t="s">
        <v>33</v>
      </c>
      <c r="G131" s="24">
        <v>899703.93389999995</v>
      </c>
      <c r="H131" s="25">
        <v>42581.947690982444</v>
      </c>
      <c r="I131" s="28">
        <v>18121</v>
      </c>
      <c r="J131" s="28">
        <v>4684.6499999999996</v>
      </c>
      <c r="K131" s="24">
        <f t="shared" ref="K131:K194" si="10">ROUND(G131-H131,0)</f>
        <v>857122</v>
      </c>
      <c r="L131" s="25">
        <f t="shared" ref="L131:L194" si="11">ROUND(K131/I131,2)</f>
        <v>47.3</v>
      </c>
      <c r="M131" s="26">
        <f t="shared" ref="M131:M194" si="12">+H131/G131</f>
        <v>4.7328844619362674E-2</v>
      </c>
      <c r="N131" s="27">
        <f t="shared" ref="N131:N194" si="13">ROUND(I131/J131,1)</f>
        <v>3.9</v>
      </c>
      <c r="O131" s="25">
        <f t="shared" ref="O131:O194" si="14">ROUND(G131/J131,2)</f>
        <v>192.05</v>
      </c>
      <c r="P131" s="143"/>
    </row>
    <row r="132" spans="1:16" x14ac:dyDescent="0.25">
      <c r="A132" s="93" t="s">
        <v>9</v>
      </c>
      <c r="B132" s="21">
        <v>410</v>
      </c>
      <c r="D132" s="21" t="s">
        <v>20</v>
      </c>
      <c r="E132" s="21" t="s">
        <v>30</v>
      </c>
      <c r="F132" s="21" t="s">
        <v>33</v>
      </c>
      <c r="G132" s="24">
        <v>186269.1306</v>
      </c>
      <c r="H132" s="25">
        <v>7778.0611918300256</v>
      </c>
      <c r="I132" s="28">
        <v>3310</v>
      </c>
      <c r="J132" s="28">
        <v>1122</v>
      </c>
      <c r="K132" s="24">
        <f t="shared" si="10"/>
        <v>178491</v>
      </c>
      <c r="L132" s="25">
        <f t="shared" si="11"/>
        <v>53.92</v>
      </c>
      <c r="M132" s="26">
        <f t="shared" si="12"/>
        <v>4.1757113305762247E-2</v>
      </c>
      <c r="N132" s="27">
        <f t="shared" si="13"/>
        <v>3</v>
      </c>
      <c r="O132" s="25">
        <f t="shared" si="14"/>
        <v>166.02</v>
      </c>
      <c r="P132" s="143" t="s">
        <v>98</v>
      </c>
    </row>
    <row r="133" spans="1:16" x14ac:dyDescent="0.25">
      <c r="A133" s="93" t="s">
        <v>9</v>
      </c>
      <c r="B133" s="21">
        <v>447</v>
      </c>
      <c r="D133" s="21" t="s">
        <v>20</v>
      </c>
      <c r="E133" s="21" t="s">
        <v>30</v>
      </c>
      <c r="F133" s="22" t="s">
        <v>33</v>
      </c>
      <c r="G133" s="24">
        <v>989116.02629999991</v>
      </c>
      <c r="H133" s="25">
        <v>39381.428251927311</v>
      </c>
      <c r="I133" s="28">
        <v>16759</v>
      </c>
      <c r="J133" s="32">
        <v>5326.97</v>
      </c>
      <c r="K133" s="24">
        <f t="shared" si="10"/>
        <v>949735</v>
      </c>
      <c r="L133" s="25">
        <f t="shared" si="11"/>
        <v>56.67</v>
      </c>
      <c r="M133" s="26">
        <f t="shared" si="12"/>
        <v>3.9814771174259474E-2</v>
      </c>
      <c r="N133" s="27">
        <f t="shared" si="13"/>
        <v>3.1</v>
      </c>
      <c r="O133" s="25">
        <f t="shared" si="14"/>
        <v>185.68</v>
      </c>
      <c r="P133" s="143"/>
    </row>
    <row r="134" spans="1:16" x14ac:dyDescent="0.25">
      <c r="A134" s="93" t="s">
        <v>9</v>
      </c>
      <c r="B134" s="21">
        <v>499</v>
      </c>
      <c r="D134" s="21" t="s">
        <v>20</v>
      </c>
      <c r="E134" s="21" t="s">
        <v>30</v>
      </c>
      <c r="F134" s="21" t="s">
        <v>33</v>
      </c>
      <c r="G134" s="24">
        <v>630349.93559999997</v>
      </c>
      <c r="H134" s="25">
        <v>24802.850718962512</v>
      </c>
      <c r="I134" s="28">
        <v>10555</v>
      </c>
      <c r="J134" s="28">
        <v>2850.3600000000006</v>
      </c>
      <c r="K134" s="24">
        <f t="shared" si="10"/>
        <v>605547</v>
      </c>
      <c r="L134" s="25">
        <f t="shared" si="11"/>
        <v>57.37</v>
      </c>
      <c r="M134" s="26">
        <f t="shared" si="12"/>
        <v>3.934774847776238E-2</v>
      </c>
      <c r="N134" s="27">
        <f t="shared" si="13"/>
        <v>3.7</v>
      </c>
      <c r="O134" s="25">
        <f t="shared" si="14"/>
        <v>221.15</v>
      </c>
      <c r="P134" s="143"/>
    </row>
    <row r="135" spans="1:16" x14ac:dyDescent="0.25">
      <c r="A135" s="93" t="s">
        <v>9</v>
      </c>
      <c r="B135" s="21">
        <v>497</v>
      </c>
      <c r="D135" s="21" t="s">
        <v>20</v>
      </c>
      <c r="E135" s="21" t="s">
        <v>30</v>
      </c>
      <c r="F135" s="21" t="s">
        <v>33</v>
      </c>
      <c r="G135" s="24">
        <v>719550.79410000006</v>
      </c>
      <c r="H135" s="25">
        <v>27669.688983020711</v>
      </c>
      <c r="I135" s="28">
        <v>11775</v>
      </c>
      <c r="J135" s="28">
        <v>3161.7100000000005</v>
      </c>
      <c r="K135" s="24">
        <f t="shared" si="10"/>
        <v>691881</v>
      </c>
      <c r="L135" s="25">
        <f t="shared" si="11"/>
        <v>58.76</v>
      </c>
      <c r="M135" s="26">
        <f t="shared" si="12"/>
        <v>3.8454114997718003E-2</v>
      </c>
      <c r="N135" s="27">
        <f t="shared" si="13"/>
        <v>3.7</v>
      </c>
      <c r="O135" s="25">
        <f t="shared" si="14"/>
        <v>227.58</v>
      </c>
      <c r="P135" s="143"/>
    </row>
    <row r="136" spans="1:16" x14ac:dyDescent="0.25">
      <c r="A136" s="93" t="s">
        <v>9</v>
      </c>
      <c r="B136" s="21">
        <v>420</v>
      </c>
      <c r="D136" s="21" t="s">
        <v>20</v>
      </c>
      <c r="E136" s="21" t="s">
        <v>30</v>
      </c>
      <c r="F136" s="21" t="s">
        <v>33</v>
      </c>
      <c r="G136" s="24">
        <v>587989.8446999999</v>
      </c>
      <c r="H136" s="25">
        <v>19367.607354399719</v>
      </c>
      <c r="I136" s="28">
        <v>8242</v>
      </c>
      <c r="J136" s="28">
        <v>2934.92</v>
      </c>
      <c r="K136" s="24">
        <f t="shared" si="10"/>
        <v>568622</v>
      </c>
      <c r="L136" s="25">
        <f t="shared" si="11"/>
        <v>68.989999999999995</v>
      </c>
      <c r="M136" s="26">
        <f t="shared" si="12"/>
        <v>3.2938676626772911E-2</v>
      </c>
      <c r="N136" s="27">
        <f t="shared" si="13"/>
        <v>2.8</v>
      </c>
      <c r="O136" s="25">
        <f t="shared" si="14"/>
        <v>200.34</v>
      </c>
      <c r="P136" s="143"/>
    </row>
    <row r="137" spans="1:16" x14ac:dyDescent="0.25">
      <c r="A137" s="93" t="s">
        <v>9</v>
      </c>
      <c r="B137" s="21">
        <v>436</v>
      </c>
      <c r="D137" s="21" t="s">
        <v>20</v>
      </c>
      <c r="E137" s="21" t="s">
        <v>30</v>
      </c>
      <c r="F137" s="22" t="s">
        <v>33</v>
      </c>
      <c r="G137" s="24">
        <v>863701.84349999996</v>
      </c>
      <c r="H137" s="25">
        <v>26257.418657857615</v>
      </c>
      <c r="I137" s="28">
        <v>11174</v>
      </c>
      <c r="J137" s="32">
        <v>3525.7899999999995</v>
      </c>
      <c r="K137" s="24">
        <f t="shared" si="10"/>
        <v>837444</v>
      </c>
      <c r="L137" s="25">
        <f t="shared" si="11"/>
        <v>74.95</v>
      </c>
      <c r="M137" s="26">
        <f t="shared" si="12"/>
        <v>3.0401021898313937E-2</v>
      </c>
      <c r="N137" s="27">
        <f t="shared" si="13"/>
        <v>3.2</v>
      </c>
      <c r="O137" s="25">
        <f t="shared" si="14"/>
        <v>244.97</v>
      </c>
      <c r="P137" s="143"/>
    </row>
    <row r="138" spans="1:16" x14ac:dyDescent="0.25">
      <c r="A138" s="93" t="s">
        <v>9</v>
      </c>
      <c r="B138" s="22">
        <v>479</v>
      </c>
      <c r="C138" s="22"/>
      <c r="D138" s="21" t="s">
        <v>70</v>
      </c>
      <c r="E138" s="21" t="s">
        <v>30</v>
      </c>
      <c r="F138" s="21" t="s">
        <v>33</v>
      </c>
      <c r="G138" s="31">
        <v>147776.9982</v>
      </c>
      <c r="H138" s="31">
        <v>3743.3388152825473</v>
      </c>
      <c r="I138" s="213">
        <v>1593</v>
      </c>
      <c r="J138" s="213">
        <v>510.84000000000003</v>
      </c>
      <c r="K138" s="24">
        <f t="shared" si="10"/>
        <v>144034</v>
      </c>
      <c r="L138" s="25">
        <f t="shared" si="11"/>
        <v>90.42</v>
      </c>
      <c r="M138" s="26">
        <f t="shared" si="12"/>
        <v>2.5330997793150106E-2</v>
      </c>
      <c r="N138" s="27">
        <f t="shared" si="13"/>
        <v>3.1</v>
      </c>
      <c r="O138" s="25">
        <f t="shared" si="14"/>
        <v>289.27999999999997</v>
      </c>
      <c r="P138" s="143" t="s">
        <v>97</v>
      </c>
    </row>
    <row r="139" spans="1:16" x14ac:dyDescent="0.25">
      <c r="A139" s="93" t="s">
        <v>9</v>
      </c>
      <c r="B139" s="21">
        <v>425</v>
      </c>
      <c r="D139" s="21" t="s">
        <v>20</v>
      </c>
      <c r="E139" s="21" t="s">
        <v>30</v>
      </c>
      <c r="F139" s="21" t="s">
        <v>33</v>
      </c>
      <c r="G139" s="24">
        <v>1502033.9024999996</v>
      </c>
      <c r="H139" s="25">
        <v>37466.286296839251</v>
      </c>
      <c r="I139" s="28">
        <v>15944</v>
      </c>
      <c r="J139" s="28">
        <v>6915.4000000000015</v>
      </c>
      <c r="K139" s="24">
        <f t="shared" si="10"/>
        <v>1464568</v>
      </c>
      <c r="L139" s="25">
        <f t="shared" si="11"/>
        <v>91.86</v>
      </c>
      <c r="M139" s="26">
        <f t="shared" si="12"/>
        <v>2.4943702159105734E-2</v>
      </c>
      <c r="N139" s="27">
        <f t="shared" si="13"/>
        <v>2.2999999999999998</v>
      </c>
      <c r="O139" s="25">
        <f t="shared" si="14"/>
        <v>217.2</v>
      </c>
      <c r="P139" s="143"/>
    </row>
    <row r="140" spans="1:16" x14ac:dyDescent="0.25">
      <c r="A140" s="93" t="s">
        <v>67</v>
      </c>
      <c r="B140" s="22">
        <v>501</v>
      </c>
      <c r="C140" s="22"/>
      <c r="D140" s="21" t="s">
        <v>20</v>
      </c>
      <c r="E140" s="21" t="s">
        <v>30</v>
      </c>
      <c r="F140" s="21" t="s">
        <v>33</v>
      </c>
      <c r="G140" s="25">
        <v>99961.637118081329</v>
      </c>
      <c r="H140" s="25">
        <v>1404.0365726070625</v>
      </c>
      <c r="I140" s="29">
        <v>1052.0774985047176</v>
      </c>
      <c r="J140" s="29">
        <v>178.34000000000023</v>
      </c>
      <c r="K140" s="24">
        <f t="shared" si="10"/>
        <v>98558</v>
      </c>
      <c r="L140" s="25">
        <f t="shared" si="11"/>
        <v>93.68</v>
      </c>
      <c r="M140" s="26">
        <f t="shared" si="12"/>
        <v>1.4045754082123737E-2</v>
      </c>
      <c r="N140" s="27">
        <f t="shared" si="13"/>
        <v>5.9</v>
      </c>
      <c r="O140" s="25">
        <f t="shared" si="14"/>
        <v>560.51</v>
      </c>
      <c r="P140" s="210"/>
    </row>
    <row r="141" spans="1:16" x14ac:dyDescent="0.25">
      <c r="A141" s="93" t="s">
        <v>67</v>
      </c>
      <c r="B141" s="21">
        <v>888</v>
      </c>
      <c r="C141" s="21" t="s">
        <v>87</v>
      </c>
      <c r="D141" s="21" t="s">
        <v>25</v>
      </c>
      <c r="E141" s="21" t="s">
        <v>106</v>
      </c>
      <c r="F141" s="22" t="s">
        <v>33</v>
      </c>
      <c r="G141" s="207">
        <v>11369678.185371391</v>
      </c>
      <c r="H141" s="207">
        <v>315410.78614680428</v>
      </c>
      <c r="I141" s="208">
        <v>94806</v>
      </c>
      <c r="J141" s="209">
        <v>1092.4300000000042</v>
      </c>
      <c r="K141" s="24">
        <f t="shared" si="10"/>
        <v>11054267</v>
      </c>
      <c r="L141" s="25">
        <f t="shared" si="11"/>
        <v>116.6</v>
      </c>
      <c r="M141" s="26">
        <f t="shared" si="12"/>
        <v>2.7741399624891964E-2</v>
      </c>
      <c r="N141" s="27">
        <f t="shared" si="13"/>
        <v>86.8</v>
      </c>
      <c r="O141" s="25">
        <f t="shared" si="14"/>
        <v>10407.69</v>
      </c>
      <c r="P141" s="143"/>
    </row>
    <row r="142" spans="1:16" ht="15.75" thickBot="1" x14ac:dyDescent="0.3">
      <c r="A142" s="145" t="s">
        <v>9</v>
      </c>
      <c r="B142" s="147">
        <v>498</v>
      </c>
      <c r="C142" s="147"/>
      <c r="D142" s="147" t="s">
        <v>99</v>
      </c>
      <c r="E142" s="147" t="s">
        <v>30</v>
      </c>
      <c r="F142" s="146" t="s">
        <v>33</v>
      </c>
      <c r="G142" s="217">
        <v>1081553.6491999999</v>
      </c>
      <c r="H142" s="218">
        <v>12144.114875944886</v>
      </c>
      <c r="I142" s="219">
        <v>5168</v>
      </c>
      <c r="J142" s="220">
        <v>5401.55</v>
      </c>
      <c r="K142" s="148">
        <f t="shared" si="10"/>
        <v>1069410</v>
      </c>
      <c r="L142" s="151">
        <f t="shared" si="11"/>
        <v>206.93</v>
      </c>
      <c r="M142" s="221">
        <f t="shared" si="12"/>
        <v>1.1228398041028853E-2</v>
      </c>
      <c r="N142" s="199">
        <f t="shared" si="13"/>
        <v>1</v>
      </c>
      <c r="O142" s="151">
        <f t="shared" si="14"/>
        <v>200.23</v>
      </c>
      <c r="P142" s="152" t="s">
        <v>100</v>
      </c>
    </row>
    <row r="143" spans="1:16" x14ac:dyDescent="0.25">
      <c r="A143" s="160" t="s">
        <v>67</v>
      </c>
      <c r="B143" s="162">
        <v>902</v>
      </c>
      <c r="C143" s="162" t="s">
        <v>22</v>
      </c>
      <c r="D143" s="162" t="s">
        <v>24</v>
      </c>
      <c r="E143" s="162" t="s">
        <v>105</v>
      </c>
      <c r="F143" s="161" t="s">
        <v>65</v>
      </c>
      <c r="G143" s="201">
        <v>6542156.1233463949</v>
      </c>
      <c r="H143" s="201">
        <v>1015645.783678341</v>
      </c>
      <c r="I143" s="202">
        <v>1072036.1299999999</v>
      </c>
      <c r="J143" s="203">
        <v>5810.3899999999967</v>
      </c>
      <c r="K143" s="163">
        <f t="shared" si="10"/>
        <v>5526510</v>
      </c>
      <c r="L143" s="204">
        <f t="shared" si="11"/>
        <v>5.16</v>
      </c>
      <c r="M143" s="205">
        <f t="shared" si="12"/>
        <v>0.15524633844397243</v>
      </c>
      <c r="N143" s="206">
        <f t="shared" si="13"/>
        <v>184.5</v>
      </c>
      <c r="O143" s="204">
        <f t="shared" si="14"/>
        <v>1125.94</v>
      </c>
      <c r="P143" s="169"/>
    </row>
    <row r="144" spans="1:16" x14ac:dyDescent="0.25">
      <c r="A144" s="93" t="s">
        <v>67</v>
      </c>
      <c r="B144" s="21">
        <v>924</v>
      </c>
      <c r="C144" s="21" t="s">
        <v>84</v>
      </c>
      <c r="D144" s="21" t="s">
        <v>53</v>
      </c>
      <c r="E144" s="21" t="s">
        <v>30</v>
      </c>
      <c r="F144" s="22" t="s">
        <v>65</v>
      </c>
      <c r="G144" s="207">
        <v>3253925.1417523129</v>
      </c>
      <c r="H144" s="207">
        <v>111881.42948454627</v>
      </c>
      <c r="I144" s="208">
        <v>508665.92893546604</v>
      </c>
      <c r="J144" s="209">
        <v>11784.160000000002</v>
      </c>
      <c r="K144" s="24">
        <f t="shared" si="10"/>
        <v>3142044</v>
      </c>
      <c r="L144" s="25">
        <f t="shared" si="11"/>
        <v>6.18</v>
      </c>
      <c r="M144" s="26">
        <f t="shared" si="12"/>
        <v>3.4383529002850868E-2</v>
      </c>
      <c r="N144" s="27">
        <f t="shared" si="13"/>
        <v>43.2</v>
      </c>
      <c r="O144" s="25">
        <f t="shared" si="14"/>
        <v>276.13</v>
      </c>
      <c r="P144" s="143"/>
    </row>
    <row r="145" spans="1:16" x14ac:dyDescent="0.25">
      <c r="A145" s="93" t="s">
        <v>67</v>
      </c>
      <c r="B145" s="21">
        <v>901</v>
      </c>
      <c r="C145" s="21" t="s">
        <v>21</v>
      </c>
      <c r="D145" s="21" t="s">
        <v>24</v>
      </c>
      <c r="E145" s="21" t="s">
        <v>105</v>
      </c>
      <c r="F145" s="21" t="s">
        <v>65</v>
      </c>
      <c r="G145" s="207">
        <v>6851578.1617269684</v>
      </c>
      <c r="H145" s="207">
        <v>779834.14845517417</v>
      </c>
      <c r="I145" s="208">
        <v>956252</v>
      </c>
      <c r="J145" s="209">
        <v>5287.2700000000013</v>
      </c>
      <c r="K145" s="24">
        <f t="shared" si="10"/>
        <v>6071744</v>
      </c>
      <c r="L145" s="25">
        <f t="shared" si="11"/>
        <v>6.35</v>
      </c>
      <c r="M145" s="26">
        <f t="shared" si="12"/>
        <v>0.11381817882649882</v>
      </c>
      <c r="N145" s="27">
        <f t="shared" si="13"/>
        <v>180.9</v>
      </c>
      <c r="O145" s="25">
        <f t="shared" si="14"/>
        <v>1295.8599999999999</v>
      </c>
      <c r="P145" s="173"/>
    </row>
    <row r="146" spans="1:16" x14ac:dyDescent="0.25">
      <c r="A146" s="93" t="s">
        <v>67</v>
      </c>
      <c r="B146" s="21">
        <v>921</v>
      </c>
      <c r="C146" s="21" t="s">
        <v>82</v>
      </c>
      <c r="D146" s="21" t="s">
        <v>53</v>
      </c>
      <c r="E146" s="21" t="s">
        <v>30</v>
      </c>
      <c r="F146" s="22" t="s">
        <v>65</v>
      </c>
      <c r="G146" s="207">
        <v>1292183.2122800294</v>
      </c>
      <c r="H146" s="207">
        <v>98874.947650938338</v>
      </c>
      <c r="I146" s="208">
        <v>169109</v>
      </c>
      <c r="J146" s="209">
        <v>3905.1999999999966</v>
      </c>
      <c r="K146" s="24">
        <f t="shared" si="10"/>
        <v>1193308</v>
      </c>
      <c r="L146" s="25">
        <f t="shared" si="11"/>
        <v>7.06</v>
      </c>
      <c r="M146" s="26">
        <f t="shared" si="12"/>
        <v>7.6517746640954745E-2</v>
      </c>
      <c r="N146" s="27">
        <f t="shared" si="13"/>
        <v>43.3</v>
      </c>
      <c r="O146" s="25">
        <f t="shared" si="14"/>
        <v>330.89</v>
      </c>
      <c r="P146" s="143"/>
    </row>
    <row r="147" spans="1:16" x14ac:dyDescent="0.25">
      <c r="A147" s="93" t="s">
        <v>67</v>
      </c>
      <c r="B147" s="21">
        <v>923</v>
      </c>
      <c r="C147" s="21" t="s">
        <v>83</v>
      </c>
      <c r="D147" s="21" t="s">
        <v>53</v>
      </c>
      <c r="E147" s="21" t="s">
        <v>30</v>
      </c>
      <c r="F147" s="22" t="s">
        <v>65</v>
      </c>
      <c r="G147" s="207">
        <v>1620672.8568987977</v>
      </c>
      <c r="H147" s="207">
        <v>63324.726145694825</v>
      </c>
      <c r="I147" s="208">
        <v>203833</v>
      </c>
      <c r="J147" s="209">
        <v>5179.9100000000026</v>
      </c>
      <c r="K147" s="24">
        <f t="shared" si="10"/>
        <v>1557348</v>
      </c>
      <c r="L147" s="25">
        <f t="shared" si="11"/>
        <v>7.64</v>
      </c>
      <c r="M147" s="26">
        <f t="shared" si="12"/>
        <v>3.907310835504979E-2</v>
      </c>
      <c r="N147" s="27">
        <f t="shared" si="13"/>
        <v>39.4</v>
      </c>
      <c r="O147" s="25">
        <f t="shared" si="14"/>
        <v>312.88</v>
      </c>
      <c r="P147" s="143"/>
    </row>
    <row r="148" spans="1:16" x14ac:dyDescent="0.25">
      <c r="A148" s="93" t="s">
        <v>68</v>
      </c>
      <c r="B148" s="21">
        <v>539</v>
      </c>
      <c r="D148" s="21" t="s">
        <v>20</v>
      </c>
      <c r="E148" s="21" t="s">
        <v>30</v>
      </c>
      <c r="F148" s="21" t="s">
        <v>65</v>
      </c>
      <c r="G148" s="24">
        <v>70727.526904705592</v>
      </c>
      <c r="H148" s="24">
        <v>8373.4945440152769</v>
      </c>
      <c r="I148" s="34">
        <v>7748</v>
      </c>
      <c r="J148" s="34">
        <v>530</v>
      </c>
      <c r="K148" s="24">
        <f t="shared" si="10"/>
        <v>62354</v>
      </c>
      <c r="L148" s="25">
        <f t="shared" si="11"/>
        <v>8.0500000000000007</v>
      </c>
      <c r="M148" s="26">
        <f t="shared" si="12"/>
        <v>0.1183908855642198</v>
      </c>
      <c r="N148" s="27">
        <f t="shared" si="13"/>
        <v>14.6</v>
      </c>
      <c r="O148" s="25">
        <f t="shared" si="14"/>
        <v>133.44999999999999</v>
      </c>
      <c r="P148" s="143"/>
    </row>
    <row r="149" spans="1:16" x14ac:dyDescent="0.25">
      <c r="A149" s="93" t="s">
        <v>67</v>
      </c>
      <c r="B149" s="22">
        <v>21</v>
      </c>
      <c r="D149" s="22" t="s">
        <v>18</v>
      </c>
      <c r="E149" s="21" t="s">
        <v>30</v>
      </c>
      <c r="F149" s="22" t="s">
        <v>65</v>
      </c>
      <c r="G149" s="25">
        <v>2679767.5251424015</v>
      </c>
      <c r="H149" s="25">
        <v>208941.20028009248</v>
      </c>
      <c r="I149" s="29">
        <v>283941.13359396876</v>
      </c>
      <c r="J149" s="30">
        <v>9818.6600000000017</v>
      </c>
      <c r="K149" s="24">
        <f t="shared" si="10"/>
        <v>2470826</v>
      </c>
      <c r="L149" s="25">
        <f t="shared" si="11"/>
        <v>8.6999999999999993</v>
      </c>
      <c r="M149" s="26">
        <f t="shared" si="12"/>
        <v>7.7969897880969904E-2</v>
      </c>
      <c r="N149" s="27">
        <f t="shared" si="13"/>
        <v>28.9</v>
      </c>
      <c r="O149" s="25">
        <f t="shared" si="14"/>
        <v>272.93</v>
      </c>
      <c r="P149" s="210"/>
    </row>
    <row r="150" spans="1:16" x14ac:dyDescent="0.25">
      <c r="A150" s="93" t="s">
        <v>67</v>
      </c>
      <c r="B150" s="22">
        <v>2</v>
      </c>
      <c r="D150" s="22" t="s">
        <v>18</v>
      </c>
      <c r="E150" s="21" t="s">
        <v>30</v>
      </c>
      <c r="F150" s="22" t="s">
        <v>65</v>
      </c>
      <c r="G150" s="25">
        <v>1093468.1786855755</v>
      </c>
      <c r="H150" s="25">
        <v>91733.811165694613</v>
      </c>
      <c r="I150" s="29">
        <v>111699.38051451276</v>
      </c>
      <c r="J150" s="30">
        <v>3580.1999999999971</v>
      </c>
      <c r="K150" s="24">
        <f t="shared" si="10"/>
        <v>1001734</v>
      </c>
      <c r="L150" s="25">
        <f t="shared" si="11"/>
        <v>8.9700000000000006</v>
      </c>
      <c r="M150" s="26">
        <f t="shared" si="12"/>
        <v>8.3892529251253581E-2</v>
      </c>
      <c r="N150" s="27">
        <f t="shared" si="13"/>
        <v>31.2</v>
      </c>
      <c r="O150" s="25">
        <f t="shared" si="14"/>
        <v>305.42</v>
      </c>
      <c r="P150" s="210"/>
    </row>
    <row r="151" spans="1:16" x14ac:dyDescent="0.25">
      <c r="A151" s="93" t="s">
        <v>67</v>
      </c>
      <c r="B151" s="22">
        <v>18</v>
      </c>
      <c r="D151" s="22" t="s">
        <v>18</v>
      </c>
      <c r="E151" s="21" t="s">
        <v>30</v>
      </c>
      <c r="F151" s="22" t="s">
        <v>65</v>
      </c>
      <c r="G151" s="25">
        <v>1960548.2459467405</v>
      </c>
      <c r="H151" s="25">
        <v>152377.6633356525</v>
      </c>
      <c r="I151" s="29">
        <v>191673.93697510503</v>
      </c>
      <c r="J151" s="30">
        <v>6873.4100000000044</v>
      </c>
      <c r="K151" s="24">
        <f t="shared" si="10"/>
        <v>1808171</v>
      </c>
      <c r="L151" s="25">
        <f t="shared" si="11"/>
        <v>9.43</v>
      </c>
      <c r="M151" s="26">
        <f t="shared" si="12"/>
        <v>7.7721965603590626E-2</v>
      </c>
      <c r="N151" s="27">
        <f t="shared" si="13"/>
        <v>27.9</v>
      </c>
      <c r="O151" s="25">
        <f t="shared" si="14"/>
        <v>285.24</v>
      </c>
      <c r="P151" s="210"/>
    </row>
    <row r="152" spans="1:16" x14ac:dyDescent="0.25">
      <c r="A152" s="93" t="s">
        <v>68</v>
      </c>
      <c r="B152" s="22">
        <v>65</v>
      </c>
      <c r="C152" s="22"/>
      <c r="D152" s="21" t="s">
        <v>19</v>
      </c>
      <c r="E152" s="21" t="s">
        <v>30</v>
      </c>
      <c r="F152" s="22" t="s">
        <v>65</v>
      </c>
      <c r="G152" s="25">
        <v>127065.26462638682</v>
      </c>
      <c r="H152" s="31">
        <v>11774.368031126622</v>
      </c>
      <c r="I152" s="29">
        <v>11621</v>
      </c>
      <c r="J152" s="30">
        <v>1171.51</v>
      </c>
      <c r="K152" s="24">
        <f t="shared" si="10"/>
        <v>115291</v>
      </c>
      <c r="L152" s="25">
        <f t="shared" si="11"/>
        <v>9.92</v>
      </c>
      <c r="M152" s="26">
        <f t="shared" si="12"/>
        <v>9.2663939793043285E-2</v>
      </c>
      <c r="N152" s="27">
        <f t="shared" si="13"/>
        <v>9.9</v>
      </c>
      <c r="O152" s="25">
        <f t="shared" si="14"/>
        <v>108.46</v>
      </c>
      <c r="P152" s="143"/>
    </row>
    <row r="153" spans="1:16" x14ac:dyDescent="0.25">
      <c r="A153" s="93" t="s">
        <v>67</v>
      </c>
      <c r="B153" s="22">
        <v>10</v>
      </c>
      <c r="D153" s="22" t="s">
        <v>18</v>
      </c>
      <c r="E153" s="21" t="s">
        <v>30</v>
      </c>
      <c r="F153" s="22" t="s">
        <v>65</v>
      </c>
      <c r="G153" s="25">
        <v>1742457.690736468</v>
      </c>
      <c r="H153" s="25">
        <v>122361.44903977893</v>
      </c>
      <c r="I153" s="29">
        <v>156321.00804267768</v>
      </c>
      <c r="J153" s="30">
        <v>5940.3700000000081</v>
      </c>
      <c r="K153" s="24">
        <f t="shared" si="10"/>
        <v>1620096</v>
      </c>
      <c r="L153" s="25">
        <f t="shared" si="11"/>
        <v>10.36</v>
      </c>
      <c r="M153" s="26">
        <f t="shared" si="12"/>
        <v>7.0223483583157525E-2</v>
      </c>
      <c r="N153" s="27">
        <f t="shared" si="13"/>
        <v>26.3</v>
      </c>
      <c r="O153" s="25">
        <f t="shared" si="14"/>
        <v>293.32</v>
      </c>
      <c r="P153" s="210"/>
    </row>
    <row r="154" spans="1:16" x14ac:dyDescent="0.25">
      <c r="A154" s="93" t="s">
        <v>68</v>
      </c>
      <c r="B154" s="22">
        <v>80</v>
      </c>
      <c r="C154" s="22"/>
      <c r="D154" s="21" t="s">
        <v>19</v>
      </c>
      <c r="E154" s="21" t="s">
        <v>30</v>
      </c>
      <c r="F154" s="22" t="s">
        <v>65</v>
      </c>
      <c r="G154" s="25">
        <v>84244.107890072584</v>
      </c>
      <c r="H154" s="31">
        <v>6564.0013818977568</v>
      </c>
      <c r="I154" s="29">
        <v>7303</v>
      </c>
      <c r="J154" s="30">
        <v>718.83899999999994</v>
      </c>
      <c r="K154" s="24">
        <f t="shared" si="10"/>
        <v>77680</v>
      </c>
      <c r="L154" s="25">
        <f t="shared" si="11"/>
        <v>10.64</v>
      </c>
      <c r="M154" s="26">
        <f t="shared" si="12"/>
        <v>7.7916444797099763E-2</v>
      </c>
      <c r="N154" s="27">
        <f t="shared" si="13"/>
        <v>10.199999999999999</v>
      </c>
      <c r="O154" s="25">
        <f t="shared" si="14"/>
        <v>117.19</v>
      </c>
      <c r="P154" s="143"/>
    </row>
    <row r="155" spans="1:16" x14ac:dyDescent="0.25">
      <c r="A155" s="93" t="s">
        <v>67</v>
      </c>
      <c r="B155" s="22">
        <v>32</v>
      </c>
      <c r="C155" s="22"/>
      <c r="D155" s="21" t="s">
        <v>19</v>
      </c>
      <c r="E155" s="21" t="s">
        <v>30</v>
      </c>
      <c r="F155" s="22" t="s">
        <v>65</v>
      </c>
      <c r="G155" s="25">
        <v>480153.99917942536</v>
      </c>
      <c r="H155" s="25">
        <v>12715.025969975268</v>
      </c>
      <c r="I155" s="29">
        <v>43006.011488381948</v>
      </c>
      <c r="J155" s="30">
        <v>1669.1999999999987</v>
      </c>
      <c r="K155" s="24">
        <f t="shared" si="10"/>
        <v>467439</v>
      </c>
      <c r="L155" s="25">
        <f t="shared" si="11"/>
        <v>10.87</v>
      </c>
      <c r="M155" s="26">
        <f t="shared" si="12"/>
        <v>2.6481141449836969E-2</v>
      </c>
      <c r="N155" s="27">
        <f t="shared" si="13"/>
        <v>25.8</v>
      </c>
      <c r="O155" s="25">
        <f t="shared" si="14"/>
        <v>287.66000000000003</v>
      </c>
      <c r="P155" s="143"/>
    </row>
    <row r="156" spans="1:16" x14ac:dyDescent="0.25">
      <c r="A156" s="93" t="s">
        <v>67</v>
      </c>
      <c r="B156" s="22">
        <v>54</v>
      </c>
      <c r="D156" s="22" t="s">
        <v>18</v>
      </c>
      <c r="E156" s="21" t="s">
        <v>30</v>
      </c>
      <c r="F156" s="22" t="s">
        <v>65</v>
      </c>
      <c r="G156" s="25">
        <v>1678504.120246904</v>
      </c>
      <c r="H156" s="25">
        <v>132565.9345201056</v>
      </c>
      <c r="I156" s="29">
        <v>142141.92001332497</v>
      </c>
      <c r="J156" s="30">
        <v>6001.4199999999983</v>
      </c>
      <c r="K156" s="24">
        <f t="shared" si="10"/>
        <v>1545938</v>
      </c>
      <c r="L156" s="25">
        <f t="shared" si="11"/>
        <v>10.88</v>
      </c>
      <c r="M156" s="26">
        <f t="shared" si="12"/>
        <v>7.8978617282515498E-2</v>
      </c>
      <c r="N156" s="27">
        <f t="shared" si="13"/>
        <v>23.7</v>
      </c>
      <c r="O156" s="25">
        <f t="shared" si="14"/>
        <v>279.68</v>
      </c>
      <c r="P156" s="210"/>
    </row>
    <row r="157" spans="1:16" x14ac:dyDescent="0.25">
      <c r="A157" s="93" t="s">
        <v>67</v>
      </c>
      <c r="B157" s="21">
        <v>724</v>
      </c>
      <c r="D157" s="21" t="s">
        <v>20</v>
      </c>
      <c r="E157" s="21" t="s">
        <v>30</v>
      </c>
      <c r="F157" s="21" t="s">
        <v>65</v>
      </c>
      <c r="G157" s="25">
        <v>429586.73679773189</v>
      </c>
      <c r="H157" s="25">
        <v>31183.648222716041</v>
      </c>
      <c r="I157" s="34">
        <v>36275.84048062058</v>
      </c>
      <c r="J157" s="34">
        <v>1255.5900000000008</v>
      </c>
      <c r="K157" s="24">
        <f t="shared" si="10"/>
        <v>398403</v>
      </c>
      <c r="L157" s="25">
        <f t="shared" si="11"/>
        <v>10.98</v>
      </c>
      <c r="M157" s="26">
        <f t="shared" si="12"/>
        <v>7.258987662228189E-2</v>
      </c>
      <c r="N157" s="27">
        <f t="shared" si="13"/>
        <v>28.9</v>
      </c>
      <c r="O157" s="25">
        <f t="shared" si="14"/>
        <v>342.14</v>
      </c>
      <c r="P157" s="143"/>
    </row>
    <row r="158" spans="1:16" x14ac:dyDescent="0.25">
      <c r="A158" s="93" t="s">
        <v>67</v>
      </c>
      <c r="B158" s="22">
        <v>17</v>
      </c>
      <c r="D158" s="22" t="s">
        <v>18</v>
      </c>
      <c r="E158" s="21" t="s">
        <v>30</v>
      </c>
      <c r="F158" s="22" t="s">
        <v>65</v>
      </c>
      <c r="G158" s="25">
        <v>1411905.0947982937</v>
      </c>
      <c r="H158" s="25">
        <v>92960.158329684316</v>
      </c>
      <c r="I158" s="29">
        <v>114022.28429834</v>
      </c>
      <c r="J158" s="30">
        <v>4957.0099999999957</v>
      </c>
      <c r="K158" s="24">
        <f t="shared" si="10"/>
        <v>1318945</v>
      </c>
      <c r="L158" s="25">
        <f t="shared" si="11"/>
        <v>11.57</v>
      </c>
      <c r="M158" s="26">
        <f t="shared" si="12"/>
        <v>6.5840231522760181E-2</v>
      </c>
      <c r="N158" s="27">
        <f t="shared" si="13"/>
        <v>23</v>
      </c>
      <c r="O158" s="25">
        <f t="shared" si="14"/>
        <v>284.83</v>
      </c>
      <c r="P158" s="210"/>
    </row>
    <row r="159" spans="1:16" x14ac:dyDescent="0.25">
      <c r="A159" s="93" t="s">
        <v>68</v>
      </c>
      <c r="B159" s="22">
        <v>87</v>
      </c>
      <c r="C159" s="22"/>
      <c r="D159" s="21" t="s">
        <v>19</v>
      </c>
      <c r="E159" s="21" t="s">
        <v>30</v>
      </c>
      <c r="F159" s="22" t="s">
        <v>65</v>
      </c>
      <c r="G159" s="25">
        <v>187361.90744354058</v>
      </c>
      <c r="H159" s="31">
        <v>17499.864086625981</v>
      </c>
      <c r="I159" s="29">
        <v>14454</v>
      </c>
      <c r="J159" s="30">
        <v>1759.33</v>
      </c>
      <c r="K159" s="24">
        <f t="shared" si="10"/>
        <v>169862</v>
      </c>
      <c r="L159" s="25">
        <f t="shared" si="11"/>
        <v>11.75</v>
      </c>
      <c r="M159" s="26">
        <f t="shared" si="12"/>
        <v>9.3401397997078833E-2</v>
      </c>
      <c r="N159" s="27">
        <f t="shared" si="13"/>
        <v>8.1999999999999993</v>
      </c>
      <c r="O159" s="25">
        <f t="shared" si="14"/>
        <v>106.5</v>
      </c>
      <c r="P159" s="143"/>
    </row>
    <row r="160" spans="1:16" x14ac:dyDescent="0.25">
      <c r="A160" s="93" t="s">
        <v>67</v>
      </c>
      <c r="B160" s="21">
        <v>515</v>
      </c>
      <c r="D160" s="21" t="s">
        <v>20</v>
      </c>
      <c r="E160" s="21" t="s">
        <v>30</v>
      </c>
      <c r="F160" s="21" t="s">
        <v>65</v>
      </c>
      <c r="G160" s="25">
        <v>564724.60533489345</v>
      </c>
      <c r="H160" s="25">
        <v>38207.448471622192</v>
      </c>
      <c r="I160" s="34">
        <v>43268.510032563325</v>
      </c>
      <c r="J160" s="34">
        <v>1537.1199999999983</v>
      </c>
      <c r="K160" s="24">
        <f t="shared" si="10"/>
        <v>526517</v>
      </c>
      <c r="L160" s="25">
        <f t="shared" si="11"/>
        <v>12.17</v>
      </c>
      <c r="M160" s="26">
        <f t="shared" si="12"/>
        <v>6.7656780155637766E-2</v>
      </c>
      <c r="N160" s="27">
        <f t="shared" si="13"/>
        <v>28.1</v>
      </c>
      <c r="O160" s="25">
        <f t="shared" si="14"/>
        <v>367.39</v>
      </c>
      <c r="P160" s="143"/>
    </row>
    <row r="161" spans="1:16" x14ac:dyDescent="0.25">
      <c r="A161" s="93" t="s">
        <v>68</v>
      </c>
      <c r="B161" s="21">
        <v>538</v>
      </c>
      <c r="D161" s="21" t="s">
        <v>20</v>
      </c>
      <c r="E161" s="21" t="s">
        <v>30</v>
      </c>
      <c r="F161" s="21" t="s">
        <v>65</v>
      </c>
      <c r="G161" s="24">
        <v>117880.72471980039</v>
      </c>
      <c r="H161" s="24">
        <v>8725.0951319650339</v>
      </c>
      <c r="I161" s="34">
        <v>8837</v>
      </c>
      <c r="J161" s="34">
        <v>1156.99</v>
      </c>
      <c r="K161" s="24">
        <f t="shared" si="10"/>
        <v>109156</v>
      </c>
      <c r="L161" s="25">
        <f t="shared" si="11"/>
        <v>12.35</v>
      </c>
      <c r="M161" s="26">
        <f t="shared" si="12"/>
        <v>7.4016300397748425E-2</v>
      </c>
      <c r="N161" s="27">
        <f t="shared" si="13"/>
        <v>7.6</v>
      </c>
      <c r="O161" s="25">
        <f t="shared" si="14"/>
        <v>101.89</v>
      </c>
      <c r="P161" s="143"/>
    </row>
    <row r="162" spans="1:16" x14ac:dyDescent="0.25">
      <c r="A162" s="93" t="s">
        <v>68</v>
      </c>
      <c r="B162" s="22">
        <v>852</v>
      </c>
      <c r="C162" s="22"/>
      <c r="D162" s="21" t="s">
        <v>70</v>
      </c>
      <c r="E162" s="21" t="s">
        <v>30</v>
      </c>
      <c r="F162" s="21" t="s">
        <v>65</v>
      </c>
      <c r="G162" s="31">
        <v>49296.388456550732</v>
      </c>
      <c r="H162" s="31">
        <v>3851.6074264080789</v>
      </c>
      <c r="I162" s="213">
        <v>3637</v>
      </c>
      <c r="J162" s="213">
        <v>499.26</v>
      </c>
      <c r="K162" s="24">
        <f t="shared" si="10"/>
        <v>45445</v>
      </c>
      <c r="L162" s="25">
        <f t="shared" si="11"/>
        <v>12.5</v>
      </c>
      <c r="M162" s="26">
        <f t="shared" si="12"/>
        <v>7.8131634933111607E-2</v>
      </c>
      <c r="N162" s="27">
        <f t="shared" si="13"/>
        <v>7.3</v>
      </c>
      <c r="O162" s="25">
        <f t="shared" si="14"/>
        <v>98.74</v>
      </c>
      <c r="P162" s="143"/>
    </row>
    <row r="163" spans="1:16" x14ac:dyDescent="0.25">
      <c r="A163" s="93" t="s">
        <v>68</v>
      </c>
      <c r="B163" s="21">
        <v>540</v>
      </c>
      <c r="D163" s="21" t="s">
        <v>20</v>
      </c>
      <c r="E163" s="21" t="s">
        <v>30</v>
      </c>
      <c r="F163" s="21" t="s">
        <v>65</v>
      </c>
      <c r="G163" s="24">
        <v>178195.48369983013</v>
      </c>
      <c r="H163" s="24">
        <v>14098.05843126226</v>
      </c>
      <c r="I163" s="34">
        <v>12406</v>
      </c>
      <c r="J163" s="34">
        <v>1224.3000000000002</v>
      </c>
      <c r="K163" s="24">
        <f t="shared" si="10"/>
        <v>164097</v>
      </c>
      <c r="L163" s="25">
        <f t="shared" si="11"/>
        <v>13.23</v>
      </c>
      <c r="M163" s="26">
        <f t="shared" si="12"/>
        <v>7.9115688784853866E-2</v>
      </c>
      <c r="N163" s="27">
        <f t="shared" si="13"/>
        <v>10.1</v>
      </c>
      <c r="O163" s="25">
        <f t="shared" si="14"/>
        <v>145.55000000000001</v>
      </c>
      <c r="P163" s="143"/>
    </row>
    <row r="164" spans="1:16" x14ac:dyDescent="0.25">
      <c r="A164" s="93" t="s">
        <v>67</v>
      </c>
      <c r="B164" s="22">
        <v>63</v>
      </c>
      <c r="D164" s="22" t="s">
        <v>18</v>
      </c>
      <c r="E164" s="21" t="s">
        <v>30</v>
      </c>
      <c r="F164" s="22" t="s">
        <v>65</v>
      </c>
      <c r="G164" s="25">
        <v>1529969.5456617544</v>
      </c>
      <c r="H164" s="25">
        <v>87901.132146385033</v>
      </c>
      <c r="I164" s="29">
        <v>106166.0778689117</v>
      </c>
      <c r="J164" s="30">
        <v>5469.8799999999965</v>
      </c>
      <c r="K164" s="24">
        <f t="shared" si="10"/>
        <v>1442068</v>
      </c>
      <c r="L164" s="25">
        <f t="shared" si="11"/>
        <v>13.58</v>
      </c>
      <c r="M164" s="26">
        <f t="shared" si="12"/>
        <v>5.7452863944664562E-2</v>
      </c>
      <c r="N164" s="27">
        <f t="shared" si="13"/>
        <v>19.399999999999999</v>
      </c>
      <c r="O164" s="25">
        <f t="shared" si="14"/>
        <v>279.70999999999998</v>
      </c>
      <c r="P164" s="210"/>
    </row>
    <row r="165" spans="1:16" x14ac:dyDescent="0.25">
      <c r="A165" s="93" t="s">
        <v>67</v>
      </c>
      <c r="B165" s="22">
        <v>62</v>
      </c>
      <c r="D165" s="22" t="s">
        <v>18</v>
      </c>
      <c r="E165" s="21" t="s">
        <v>30</v>
      </c>
      <c r="F165" s="22" t="s">
        <v>65</v>
      </c>
      <c r="G165" s="25">
        <v>853845.5690790175</v>
      </c>
      <c r="H165" s="25">
        <v>19020.438994743454</v>
      </c>
      <c r="I165" s="29">
        <v>59724.66876660048</v>
      </c>
      <c r="J165" s="30">
        <v>3201.7999999999979</v>
      </c>
      <c r="K165" s="24">
        <f t="shared" si="10"/>
        <v>834825</v>
      </c>
      <c r="L165" s="25">
        <f t="shared" si="11"/>
        <v>13.98</v>
      </c>
      <c r="M165" s="26">
        <f t="shared" si="12"/>
        <v>2.2276205069799038E-2</v>
      </c>
      <c r="N165" s="27">
        <f t="shared" si="13"/>
        <v>18.7</v>
      </c>
      <c r="O165" s="25">
        <f t="shared" si="14"/>
        <v>266.68</v>
      </c>
      <c r="P165" s="210"/>
    </row>
    <row r="166" spans="1:16" x14ac:dyDescent="0.25">
      <c r="A166" s="93" t="s">
        <v>67</v>
      </c>
      <c r="B166" s="22">
        <v>74</v>
      </c>
      <c r="D166" s="22" t="s">
        <v>18</v>
      </c>
      <c r="E166" s="21" t="s">
        <v>30</v>
      </c>
      <c r="F166" s="22" t="s">
        <v>65</v>
      </c>
      <c r="G166" s="25">
        <v>1038527.542690265</v>
      </c>
      <c r="H166" s="25">
        <v>60282.700474386569</v>
      </c>
      <c r="I166" s="29">
        <v>67955.873116287883</v>
      </c>
      <c r="J166" s="30">
        <v>3617.6400000000021</v>
      </c>
      <c r="K166" s="24">
        <f t="shared" si="10"/>
        <v>978245</v>
      </c>
      <c r="L166" s="25">
        <f t="shared" si="11"/>
        <v>14.4</v>
      </c>
      <c r="M166" s="26">
        <f t="shared" si="12"/>
        <v>5.8046318461835486E-2</v>
      </c>
      <c r="N166" s="27">
        <f t="shared" si="13"/>
        <v>18.8</v>
      </c>
      <c r="O166" s="25">
        <f t="shared" si="14"/>
        <v>287.07</v>
      </c>
      <c r="P166" s="143"/>
    </row>
    <row r="167" spans="1:16" x14ac:dyDescent="0.25">
      <c r="A167" s="93" t="s">
        <v>67</v>
      </c>
      <c r="B167" s="22">
        <v>14</v>
      </c>
      <c r="D167" s="22" t="s">
        <v>18</v>
      </c>
      <c r="E167" s="21" t="s">
        <v>30</v>
      </c>
      <c r="F167" s="22" t="s">
        <v>65</v>
      </c>
      <c r="G167" s="25">
        <v>1349754.5271251863</v>
      </c>
      <c r="H167" s="25">
        <v>74063.126613986009</v>
      </c>
      <c r="I167" s="29">
        <v>87205.766356255379</v>
      </c>
      <c r="J167" s="30">
        <v>4609.8000000000011</v>
      </c>
      <c r="K167" s="24">
        <f t="shared" si="10"/>
        <v>1275691</v>
      </c>
      <c r="L167" s="25">
        <f t="shared" si="11"/>
        <v>14.63</v>
      </c>
      <c r="M167" s="26">
        <f t="shared" si="12"/>
        <v>5.4871552660565252E-2</v>
      </c>
      <c r="N167" s="27">
        <f t="shared" si="13"/>
        <v>18.899999999999999</v>
      </c>
      <c r="O167" s="25">
        <f t="shared" si="14"/>
        <v>292.8</v>
      </c>
      <c r="P167" s="210"/>
    </row>
    <row r="168" spans="1:16" x14ac:dyDescent="0.25">
      <c r="A168" s="93" t="s">
        <v>67</v>
      </c>
      <c r="B168" s="22">
        <v>11</v>
      </c>
      <c r="D168" s="22" t="s">
        <v>18</v>
      </c>
      <c r="E168" s="21" t="s">
        <v>30</v>
      </c>
      <c r="F168" s="22" t="s">
        <v>65</v>
      </c>
      <c r="G168" s="25">
        <v>1506678.1597975099</v>
      </c>
      <c r="H168" s="25">
        <v>82773.557034371013</v>
      </c>
      <c r="I168" s="29">
        <v>95025.514654547384</v>
      </c>
      <c r="J168" s="30">
        <v>5296.7199999999975</v>
      </c>
      <c r="K168" s="24">
        <f t="shared" si="10"/>
        <v>1423905</v>
      </c>
      <c r="L168" s="25">
        <f t="shared" si="11"/>
        <v>14.98</v>
      </c>
      <c r="M168" s="26">
        <f t="shared" si="12"/>
        <v>5.4937782495961429E-2</v>
      </c>
      <c r="N168" s="27">
        <f t="shared" si="13"/>
        <v>17.899999999999999</v>
      </c>
      <c r="O168" s="25">
        <f t="shared" si="14"/>
        <v>284.45</v>
      </c>
      <c r="P168" s="210"/>
    </row>
    <row r="169" spans="1:16" x14ac:dyDescent="0.25">
      <c r="A169" s="93" t="s">
        <v>67</v>
      </c>
      <c r="B169" s="22">
        <v>6</v>
      </c>
      <c r="D169" s="22" t="s">
        <v>18</v>
      </c>
      <c r="E169" s="21" t="s">
        <v>30</v>
      </c>
      <c r="F169" s="22" t="s">
        <v>65</v>
      </c>
      <c r="G169" s="25">
        <v>2069865.9495829677</v>
      </c>
      <c r="H169" s="25">
        <v>123015.87575975808</v>
      </c>
      <c r="I169" s="29">
        <v>128825.32720056825</v>
      </c>
      <c r="J169" s="30">
        <v>7267.800000000002</v>
      </c>
      <c r="K169" s="24">
        <f t="shared" si="10"/>
        <v>1946850</v>
      </c>
      <c r="L169" s="25">
        <f t="shared" si="11"/>
        <v>15.11</v>
      </c>
      <c r="M169" s="26">
        <f t="shared" si="12"/>
        <v>5.9431808028217029E-2</v>
      </c>
      <c r="N169" s="27">
        <f t="shared" si="13"/>
        <v>17.7</v>
      </c>
      <c r="O169" s="25">
        <f t="shared" si="14"/>
        <v>284.8</v>
      </c>
      <c r="P169" s="210"/>
    </row>
    <row r="170" spans="1:16" x14ac:dyDescent="0.25">
      <c r="A170" s="93" t="s">
        <v>67</v>
      </c>
      <c r="B170" s="22">
        <v>64</v>
      </c>
      <c r="D170" s="22" t="s">
        <v>18</v>
      </c>
      <c r="E170" s="21" t="s">
        <v>30</v>
      </c>
      <c r="F170" s="22" t="s">
        <v>65</v>
      </c>
      <c r="G170" s="25">
        <v>1425048.0911074036</v>
      </c>
      <c r="H170" s="25">
        <v>71487.782630550893</v>
      </c>
      <c r="I170" s="29">
        <v>89277.629865686962</v>
      </c>
      <c r="J170" s="30">
        <v>4997.2000000000007</v>
      </c>
      <c r="K170" s="24">
        <f t="shared" si="10"/>
        <v>1353560</v>
      </c>
      <c r="L170" s="25">
        <f t="shared" si="11"/>
        <v>15.16</v>
      </c>
      <c r="M170" s="26">
        <f t="shared" si="12"/>
        <v>5.0165172022368594E-2</v>
      </c>
      <c r="N170" s="27">
        <f t="shared" si="13"/>
        <v>17.899999999999999</v>
      </c>
      <c r="O170" s="25">
        <f t="shared" si="14"/>
        <v>285.17</v>
      </c>
      <c r="P170" s="210"/>
    </row>
    <row r="171" spans="1:16" x14ac:dyDescent="0.25">
      <c r="A171" s="93" t="s">
        <v>67</v>
      </c>
      <c r="B171" s="22">
        <v>22</v>
      </c>
      <c r="D171" s="22" t="s">
        <v>18</v>
      </c>
      <c r="E171" s="21" t="s">
        <v>30</v>
      </c>
      <c r="F171" s="22" t="s">
        <v>65</v>
      </c>
      <c r="G171" s="25">
        <v>1231952.1043526968</v>
      </c>
      <c r="H171" s="25">
        <v>65944.090765087312</v>
      </c>
      <c r="I171" s="29">
        <v>76448.534349267051</v>
      </c>
      <c r="J171" s="30">
        <v>4673.7600000000039</v>
      </c>
      <c r="K171" s="24">
        <f t="shared" si="10"/>
        <v>1166008</v>
      </c>
      <c r="L171" s="25">
        <f t="shared" si="11"/>
        <v>15.25</v>
      </c>
      <c r="M171" s="26">
        <f t="shared" si="12"/>
        <v>5.3528128676509093E-2</v>
      </c>
      <c r="N171" s="27">
        <f t="shared" si="13"/>
        <v>16.399999999999999</v>
      </c>
      <c r="O171" s="25">
        <f t="shared" si="14"/>
        <v>263.58999999999997</v>
      </c>
      <c r="P171" s="210"/>
    </row>
    <row r="172" spans="1:16" x14ac:dyDescent="0.25">
      <c r="A172" s="93" t="s">
        <v>67</v>
      </c>
      <c r="B172" s="22">
        <v>3</v>
      </c>
      <c r="D172" s="22" t="s">
        <v>18</v>
      </c>
      <c r="E172" s="21" t="s">
        <v>30</v>
      </c>
      <c r="F172" s="22" t="s">
        <v>65</v>
      </c>
      <c r="G172" s="25">
        <v>1778960.6993146008</v>
      </c>
      <c r="H172" s="25">
        <v>104545.01264851326</v>
      </c>
      <c r="I172" s="29">
        <v>109370.22676534785</v>
      </c>
      <c r="J172" s="30">
        <v>6417.8600000000051</v>
      </c>
      <c r="K172" s="24">
        <f t="shared" si="10"/>
        <v>1674416</v>
      </c>
      <c r="L172" s="25">
        <f t="shared" si="11"/>
        <v>15.31</v>
      </c>
      <c r="M172" s="26">
        <f t="shared" si="12"/>
        <v>5.8767466132777661E-2</v>
      </c>
      <c r="N172" s="27">
        <f t="shared" si="13"/>
        <v>17</v>
      </c>
      <c r="O172" s="25">
        <f t="shared" si="14"/>
        <v>277.19</v>
      </c>
      <c r="P172" s="210"/>
    </row>
    <row r="173" spans="1:16" x14ac:dyDescent="0.25">
      <c r="A173" s="93" t="s">
        <v>67</v>
      </c>
      <c r="B173" s="22">
        <v>68</v>
      </c>
      <c r="D173" s="22" t="s">
        <v>18</v>
      </c>
      <c r="E173" s="21" t="s">
        <v>30</v>
      </c>
      <c r="F173" s="22" t="s">
        <v>65</v>
      </c>
      <c r="G173" s="25">
        <v>1294073.5577934764</v>
      </c>
      <c r="H173" s="25">
        <v>61684.698932830419</v>
      </c>
      <c r="I173" s="29">
        <v>80072.472584215473</v>
      </c>
      <c r="J173" s="30">
        <v>4801.4900000000007</v>
      </c>
      <c r="K173" s="24">
        <f t="shared" si="10"/>
        <v>1232389</v>
      </c>
      <c r="L173" s="25">
        <f t="shared" si="11"/>
        <v>15.39</v>
      </c>
      <c r="M173" s="26">
        <f t="shared" si="12"/>
        <v>4.7667073143824172E-2</v>
      </c>
      <c r="N173" s="27">
        <f t="shared" si="13"/>
        <v>16.7</v>
      </c>
      <c r="O173" s="25">
        <f t="shared" si="14"/>
        <v>269.51</v>
      </c>
      <c r="P173" s="210"/>
    </row>
    <row r="174" spans="1:16" x14ac:dyDescent="0.25">
      <c r="A174" s="93" t="s">
        <v>68</v>
      </c>
      <c r="B174" s="21">
        <v>716</v>
      </c>
      <c r="D174" s="21" t="s">
        <v>20</v>
      </c>
      <c r="E174" s="21" t="s">
        <v>30</v>
      </c>
      <c r="F174" s="21" t="s">
        <v>65</v>
      </c>
      <c r="G174" s="24">
        <v>58805.991654589263</v>
      </c>
      <c r="H174" s="24">
        <v>3744.9898464713765</v>
      </c>
      <c r="I174" s="34">
        <v>3569</v>
      </c>
      <c r="J174" s="34">
        <v>569.75</v>
      </c>
      <c r="K174" s="24">
        <f t="shared" si="10"/>
        <v>55061</v>
      </c>
      <c r="L174" s="25">
        <f t="shared" si="11"/>
        <v>15.43</v>
      </c>
      <c r="M174" s="26">
        <f t="shared" si="12"/>
        <v>6.3683814201594455E-2</v>
      </c>
      <c r="N174" s="27">
        <f t="shared" si="13"/>
        <v>6.3</v>
      </c>
      <c r="O174" s="25">
        <f t="shared" si="14"/>
        <v>103.21</v>
      </c>
      <c r="P174" s="143"/>
    </row>
    <row r="175" spans="1:16" x14ac:dyDescent="0.25">
      <c r="A175" s="93" t="s">
        <v>67</v>
      </c>
      <c r="B175" s="22">
        <v>4</v>
      </c>
      <c r="D175" s="22" t="s">
        <v>18</v>
      </c>
      <c r="E175" s="21" t="s">
        <v>30</v>
      </c>
      <c r="F175" s="22" t="s">
        <v>65</v>
      </c>
      <c r="G175" s="25">
        <v>1750954.8874008695</v>
      </c>
      <c r="H175" s="25">
        <v>106969.26941500066</v>
      </c>
      <c r="I175" s="29">
        <v>105911.91261184718</v>
      </c>
      <c r="J175" s="30">
        <v>6388.409999999998</v>
      </c>
      <c r="K175" s="24">
        <f t="shared" si="10"/>
        <v>1643986</v>
      </c>
      <c r="L175" s="25">
        <f t="shared" si="11"/>
        <v>15.52</v>
      </c>
      <c r="M175" s="26">
        <f t="shared" si="12"/>
        <v>6.1091961982976409E-2</v>
      </c>
      <c r="N175" s="27">
        <f t="shared" si="13"/>
        <v>16.600000000000001</v>
      </c>
      <c r="O175" s="25">
        <f t="shared" si="14"/>
        <v>274.08</v>
      </c>
      <c r="P175" s="210"/>
    </row>
    <row r="176" spans="1:16" x14ac:dyDescent="0.25">
      <c r="A176" s="93" t="s">
        <v>68</v>
      </c>
      <c r="B176" s="21">
        <v>903</v>
      </c>
      <c r="C176" s="21" t="s">
        <v>80</v>
      </c>
      <c r="D176" s="21" t="s">
        <v>23</v>
      </c>
      <c r="E176" s="21" t="s">
        <v>30</v>
      </c>
      <c r="F176" s="21" t="s">
        <v>65</v>
      </c>
      <c r="G176" s="191">
        <v>368647.67604454677</v>
      </c>
      <c r="H176" s="191">
        <v>15511.194037899162</v>
      </c>
      <c r="I176" s="208">
        <v>22571</v>
      </c>
      <c r="J176" s="209">
        <v>1241.2</v>
      </c>
      <c r="K176" s="24">
        <f t="shared" si="10"/>
        <v>353136</v>
      </c>
      <c r="L176" s="25">
        <f t="shared" si="11"/>
        <v>15.65</v>
      </c>
      <c r="M176" s="26">
        <f t="shared" si="12"/>
        <v>4.2075930613013859E-2</v>
      </c>
      <c r="N176" s="27">
        <f t="shared" si="13"/>
        <v>18.2</v>
      </c>
      <c r="O176" s="25">
        <f t="shared" si="14"/>
        <v>297.01</v>
      </c>
      <c r="P176" s="143"/>
    </row>
    <row r="177" spans="1:16" x14ac:dyDescent="0.25">
      <c r="A177" s="93" t="s">
        <v>67</v>
      </c>
      <c r="B177" s="21">
        <v>723</v>
      </c>
      <c r="D177" s="21" t="s">
        <v>20</v>
      </c>
      <c r="E177" s="21" t="s">
        <v>30</v>
      </c>
      <c r="F177" s="21" t="s">
        <v>65</v>
      </c>
      <c r="G177" s="25">
        <v>132197.33107180032</v>
      </c>
      <c r="H177" s="25">
        <v>6665.6150231640013</v>
      </c>
      <c r="I177" s="34">
        <v>7931.2060134801177</v>
      </c>
      <c r="J177" s="34">
        <v>437.91000000000031</v>
      </c>
      <c r="K177" s="24">
        <f t="shared" si="10"/>
        <v>125532</v>
      </c>
      <c r="L177" s="25">
        <f t="shared" si="11"/>
        <v>15.83</v>
      </c>
      <c r="M177" s="26">
        <f t="shared" si="12"/>
        <v>5.0421706468065583E-2</v>
      </c>
      <c r="N177" s="27">
        <f t="shared" si="13"/>
        <v>18.100000000000001</v>
      </c>
      <c r="O177" s="25">
        <f t="shared" si="14"/>
        <v>301.88</v>
      </c>
      <c r="P177" s="143"/>
    </row>
    <row r="178" spans="1:16" x14ac:dyDescent="0.25">
      <c r="A178" s="93" t="s">
        <v>68</v>
      </c>
      <c r="B178" s="21">
        <v>546</v>
      </c>
      <c r="D178" s="21" t="s">
        <v>20</v>
      </c>
      <c r="E178" s="21" t="s">
        <v>30</v>
      </c>
      <c r="F178" s="21" t="s">
        <v>65</v>
      </c>
      <c r="G178" s="24">
        <v>70909.112339634245</v>
      </c>
      <c r="H178" s="24">
        <v>5579.8696531519654</v>
      </c>
      <c r="I178" s="34">
        <v>4108</v>
      </c>
      <c r="J178" s="34">
        <v>649.25</v>
      </c>
      <c r="K178" s="24">
        <f t="shared" si="10"/>
        <v>65329</v>
      </c>
      <c r="L178" s="25">
        <f t="shared" si="11"/>
        <v>15.9</v>
      </c>
      <c r="M178" s="26">
        <f t="shared" si="12"/>
        <v>7.869044568525968E-2</v>
      </c>
      <c r="N178" s="27">
        <f t="shared" si="13"/>
        <v>6.3</v>
      </c>
      <c r="O178" s="25">
        <f t="shared" si="14"/>
        <v>109.22</v>
      </c>
      <c r="P178" s="143"/>
    </row>
    <row r="179" spans="1:16" x14ac:dyDescent="0.25">
      <c r="A179" s="93" t="s">
        <v>68</v>
      </c>
      <c r="B179" s="21">
        <v>219</v>
      </c>
      <c r="D179" s="21" t="s">
        <v>20</v>
      </c>
      <c r="E179" s="21" t="s">
        <v>30</v>
      </c>
      <c r="F179" s="21" t="s">
        <v>65</v>
      </c>
      <c r="G179" s="24">
        <v>105972.13382158367</v>
      </c>
      <c r="H179" s="24">
        <v>6302.3699471860455</v>
      </c>
      <c r="I179" s="28">
        <v>6160</v>
      </c>
      <c r="J179" s="28">
        <v>1078.6399999999999</v>
      </c>
      <c r="K179" s="24">
        <f t="shared" si="10"/>
        <v>99670</v>
      </c>
      <c r="L179" s="25">
        <f t="shared" si="11"/>
        <v>16.18</v>
      </c>
      <c r="M179" s="26">
        <f t="shared" si="12"/>
        <v>5.947195474799831E-2</v>
      </c>
      <c r="N179" s="27">
        <f t="shared" si="13"/>
        <v>5.7</v>
      </c>
      <c r="O179" s="25">
        <f t="shared" si="14"/>
        <v>98.25</v>
      </c>
      <c r="P179" s="143"/>
    </row>
    <row r="180" spans="1:16" x14ac:dyDescent="0.25">
      <c r="A180" s="93" t="s">
        <v>67</v>
      </c>
      <c r="B180" s="21">
        <v>904</v>
      </c>
      <c r="C180" s="21" t="s">
        <v>79</v>
      </c>
      <c r="D180" s="21" t="s">
        <v>23</v>
      </c>
      <c r="E180" s="21" t="s">
        <v>30</v>
      </c>
      <c r="F180" s="21" t="s">
        <v>65</v>
      </c>
      <c r="G180" s="207">
        <v>721388.28950426867</v>
      </c>
      <c r="H180" s="207">
        <v>15895.725422910433</v>
      </c>
      <c r="I180" s="208">
        <v>41909.142571624063</v>
      </c>
      <c r="J180" s="209">
        <v>2463.2800000000007</v>
      </c>
      <c r="K180" s="24">
        <f t="shared" si="10"/>
        <v>705493</v>
      </c>
      <c r="L180" s="25">
        <f t="shared" si="11"/>
        <v>16.829999999999998</v>
      </c>
      <c r="M180" s="26">
        <f t="shared" si="12"/>
        <v>2.2034909152509014E-2</v>
      </c>
      <c r="N180" s="27">
        <f t="shared" si="13"/>
        <v>17</v>
      </c>
      <c r="O180" s="25">
        <f t="shared" si="14"/>
        <v>292.86</v>
      </c>
      <c r="P180" s="173"/>
    </row>
    <row r="181" spans="1:16" x14ac:dyDescent="0.25">
      <c r="A181" s="93" t="s">
        <v>68</v>
      </c>
      <c r="B181" s="211">
        <v>67</v>
      </c>
      <c r="D181" s="211" t="s">
        <v>18</v>
      </c>
      <c r="E181" s="21" t="s">
        <v>30</v>
      </c>
      <c r="F181" s="212" t="s">
        <v>65</v>
      </c>
      <c r="G181" s="24">
        <v>164766.51149946076</v>
      </c>
      <c r="H181" s="24">
        <v>8181.8194256762117</v>
      </c>
      <c r="I181" s="29">
        <v>8905</v>
      </c>
      <c r="J181" s="30">
        <v>1401.8</v>
      </c>
      <c r="K181" s="24">
        <f t="shared" si="10"/>
        <v>156585</v>
      </c>
      <c r="L181" s="25">
        <f t="shared" si="11"/>
        <v>17.579999999999998</v>
      </c>
      <c r="M181" s="26">
        <f t="shared" si="12"/>
        <v>4.9657053191315449E-2</v>
      </c>
      <c r="N181" s="27">
        <f t="shared" si="13"/>
        <v>6.4</v>
      </c>
      <c r="O181" s="25">
        <f t="shared" si="14"/>
        <v>117.54</v>
      </c>
      <c r="P181" s="143"/>
    </row>
    <row r="182" spans="1:16" x14ac:dyDescent="0.25">
      <c r="A182" s="93" t="s">
        <v>9</v>
      </c>
      <c r="B182" s="21">
        <v>444</v>
      </c>
      <c r="D182" s="21" t="s">
        <v>20</v>
      </c>
      <c r="E182" s="21" t="s">
        <v>30</v>
      </c>
      <c r="F182" s="21" t="s">
        <v>65</v>
      </c>
      <c r="G182" s="24">
        <v>468900.08879999997</v>
      </c>
      <c r="H182" s="25">
        <v>55271.231810584301</v>
      </c>
      <c r="I182" s="34">
        <v>23521</v>
      </c>
      <c r="J182" s="34">
        <v>2536.92</v>
      </c>
      <c r="K182" s="24">
        <f t="shared" si="10"/>
        <v>413629</v>
      </c>
      <c r="L182" s="25">
        <f t="shared" si="11"/>
        <v>17.59</v>
      </c>
      <c r="M182" s="26">
        <f t="shared" si="12"/>
        <v>0.11787421911570409</v>
      </c>
      <c r="N182" s="27">
        <f t="shared" si="13"/>
        <v>9.3000000000000007</v>
      </c>
      <c r="O182" s="25">
        <f t="shared" si="14"/>
        <v>184.83</v>
      </c>
      <c r="P182" s="143"/>
    </row>
    <row r="183" spans="1:16" x14ac:dyDescent="0.25">
      <c r="A183" s="93" t="s">
        <v>68</v>
      </c>
      <c r="B183" s="21">
        <v>805</v>
      </c>
      <c r="D183" s="21" t="s">
        <v>20</v>
      </c>
      <c r="E183" s="21" t="s">
        <v>30</v>
      </c>
      <c r="F183" s="21" t="s">
        <v>65</v>
      </c>
      <c r="G183" s="24">
        <v>47557.977431718158</v>
      </c>
      <c r="H183" s="24">
        <v>2486.566469551517</v>
      </c>
      <c r="I183" s="34">
        <v>2543</v>
      </c>
      <c r="J183" s="34">
        <v>463.75</v>
      </c>
      <c r="K183" s="24">
        <f t="shared" si="10"/>
        <v>45071</v>
      </c>
      <c r="L183" s="25">
        <f t="shared" si="11"/>
        <v>17.72</v>
      </c>
      <c r="M183" s="26">
        <f t="shared" si="12"/>
        <v>5.2284949946023875E-2</v>
      </c>
      <c r="N183" s="27">
        <f t="shared" si="13"/>
        <v>5.5</v>
      </c>
      <c r="O183" s="25">
        <f t="shared" si="14"/>
        <v>102.55</v>
      </c>
      <c r="P183" s="143"/>
    </row>
    <row r="184" spans="1:16" x14ac:dyDescent="0.25">
      <c r="A184" s="93" t="s">
        <v>68</v>
      </c>
      <c r="C184" s="21" t="s">
        <v>93</v>
      </c>
      <c r="D184" s="21" t="s">
        <v>94</v>
      </c>
      <c r="E184" s="21" t="s">
        <v>31</v>
      </c>
      <c r="F184" s="207" t="s">
        <v>65</v>
      </c>
      <c r="G184" s="207">
        <v>125798.95586700464</v>
      </c>
      <c r="H184" s="215">
        <v>3236.12</v>
      </c>
      <c r="I184" s="216">
        <v>6904</v>
      </c>
      <c r="J184" s="24">
        <v>1582</v>
      </c>
      <c r="K184" s="24">
        <f t="shared" si="10"/>
        <v>122563</v>
      </c>
      <c r="L184" s="25">
        <f t="shared" si="11"/>
        <v>17.75</v>
      </c>
      <c r="M184" s="26">
        <f t="shared" si="12"/>
        <v>2.5724537836556004E-2</v>
      </c>
      <c r="N184" s="27">
        <f t="shared" si="13"/>
        <v>4.4000000000000004</v>
      </c>
      <c r="O184" s="25">
        <f t="shared" si="14"/>
        <v>79.52</v>
      </c>
      <c r="P184" s="173"/>
    </row>
    <row r="185" spans="1:16" x14ac:dyDescent="0.25">
      <c r="A185" s="93" t="s">
        <v>67</v>
      </c>
      <c r="B185" s="22">
        <v>61</v>
      </c>
      <c r="D185" s="22" t="s">
        <v>18</v>
      </c>
      <c r="E185" s="21" t="s">
        <v>30</v>
      </c>
      <c r="F185" s="22" t="s">
        <v>65</v>
      </c>
      <c r="G185" s="25">
        <v>442752.60857510095</v>
      </c>
      <c r="H185" s="25">
        <v>21503.139485167765</v>
      </c>
      <c r="I185" s="29">
        <v>23642.577211447104</v>
      </c>
      <c r="J185" s="30">
        <v>1496.0399999999993</v>
      </c>
      <c r="K185" s="24">
        <f t="shared" si="10"/>
        <v>421249</v>
      </c>
      <c r="L185" s="25">
        <f t="shared" si="11"/>
        <v>17.82</v>
      </c>
      <c r="M185" s="26">
        <f t="shared" si="12"/>
        <v>4.8566940247671837E-2</v>
      </c>
      <c r="N185" s="27">
        <f t="shared" si="13"/>
        <v>15.8</v>
      </c>
      <c r="O185" s="25">
        <f t="shared" si="14"/>
        <v>295.95</v>
      </c>
      <c r="P185" s="210"/>
    </row>
    <row r="186" spans="1:16" x14ac:dyDescent="0.25">
      <c r="A186" s="93" t="s">
        <v>68</v>
      </c>
      <c r="B186" s="22">
        <v>83</v>
      </c>
      <c r="C186" s="22"/>
      <c r="D186" s="21" t="s">
        <v>19</v>
      </c>
      <c r="E186" s="21" t="s">
        <v>30</v>
      </c>
      <c r="F186" s="22" t="s">
        <v>65</v>
      </c>
      <c r="G186" s="25">
        <v>112966.78114596439</v>
      </c>
      <c r="H186" s="31">
        <v>6483.1719741903762</v>
      </c>
      <c r="I186" s="29">
        <v>5833</v>
      </c>
      <c r="J186" s="30">
        <v>991.6</v>
      </c>
      <c r="K186" s="24">
        <f t="shared" si="10"/>
        <v>106484</v>
      </c>
      <c r="L186" s="25">
        <f t="shared" si="11"/>
        <v>18.260000000000002</v>
      </c>
      <c r="M186" s="26">
        <f t="shared" si="12"/>
        <v>5.7390074395529331E-2</v>
      </c>
      <c r="N186" s="27">
        <f t="shared" si="13"/>
        <v>5.9</v>
      </c>
      <c r="O186" s="25">
        <f t="shared" si="14"/>
        <v>113.92</v>
      </c>
      <c r="P186" s="143"/>
    </row>
    <row r="187" spans="1:16" x14ac:dyDescent="0.25">
      <c r="A187" s="93" t="s">
        <v>67</v>
      </c>
      <c r="B187" s="21">
        <v>721</v>
      </c>
      <c r="D187" s="21" t="s">
        <v>20</v>
      </c>
      <c r="E187" s="21" t="s">
        <v>30</v>
      </c>
      <c r="F187" s="21" t="s">
        <v>65</v>
      </c>
      <c r="G187" s="25">
        <v>251867.22388947487</v>
      </c>
      <c r="H187" s="25">
        <v>10490.856526391039</v>
      </c>
      <c r="I187" s="34">
        <v>13005.13620676376</v>
      </c>
      <c r="J187" s="34">
        <v>858</v>
      </c>
      <c r="K187" s="24">
        <f t="shared" si="10"/>
        <v>241376</v>
      </c>
      <c r="L187" s="25">
        <f t="shared" si="11"/>
        <v>18.559999999999999</v>
      </c>
      <c r="M187" s="26">
        <f t="shared" si="12"/>
        <v>4.1652329208959192E-2</v>
      </c>
      <c r="N187" s="27">
        <f t="shared" si="13"/>
        <v>15.2</v>
      </c>
      <c r="O187" s="25">
        <f t="shared" si="14"/>
        <v>293.55</v>
      </c>
      <c r="P187" s="143"/>
    </row>
    <row r="188" spans="1:16" ht="15" customHeight="1" x14ac:dyDescent="0.25">
      <c r="A188" s="93" t="s">
        <v>68</v>
      </c>
      <c r="B188" s="211">
        <v>70</v>
      </c>
      <c r="D188" s="211" t="s">
        <v>18</v>
      </c>
      <c r="E188" s="21" t="s">
        <v>30</v>
      </c>
      <c r="F188" s="212" t="s">
        <v>65</v>
      </c>
      <c r="G188" s="24">
        <v>47959.953924145972</v>
      </c>
      <c r="H188" s="24">
        <v>2329.2139243953998</v>
      </c>
      <c r="I188" s="29">
        <v>2413</v>
      </c>
      <c r="J188" s="30">
        <v>417.64</v>
      </c>
      <c r="K188" s="24">
        <f t="shared" si="10"/>
        <v>45631</v>
      </c>
      <c r="L188" s="25">
        <f t="shared" si="11"/>
        <v>18.91</v>
      </c>
      <c r="M188" s="26">
        <f t="shared" si="12"/>
        <v>4.8565808217399704E-2</v>
      </c>
      <c r="N188" s="27">
        <f t="shared" si="13"/>
        <v>5.8</v>
      </c>
      <c r="O188" s="25">
        <f t="shared" si="14"/>
        <v>114.84</v>
      </c>
      <c r="P188" s="143"/>
    </row>
    <row r="189" spans="1:16" ht="15" customHeight="1" x14ac:dyDescent="0.25">
      <c r="A189" s="93" t="s">
        <v>67</v>
      </c>
      <c r="B189" s="21">
        <v>722</v>
      </c>
      <c r="D189" s="21" t="s">
        <v>20</v>
      </c>
      <c r="E189" s="21" t="s">
        <v>30</v>
      </c>
      <c r="F189" s="21" t="s">
        <v>65</v>
      </c>
      <c r="G189" s="25">
        <v>372254.5745752888</v>
      </c>
      <c r="H189" s="25">
        <v>15254.964389046188</v>
      </c>
      <c r="I189" s="34">
        <v>18372.814770917037</v>
      </c>
      <c r="J189" s="34">
        <v>1168.9600000000005</v>
      </c>
      <c r="K189" s="24">
        <f t="shared" si="10"/>
        <v>357000</v>
      </c>
      <c r="L189" s="25">
        <f t="shared" si="11"/>
        <v>19.43</v>
      </c>
      <c r="M189" s="26">
        <f t="shared" si="12"/>
        <v>4.0979924575677333E-2</v>
      </c>
      <c r="N189" s="27">
        <f t="shared" si="13"/>
        <v>15.7</v>
      </c>
      <c r="O189" s="25">
        <f t="shared" si="14"/>
        <v>318.45</v>
      </c>
      <c r="P189" s="143"/>
    </row>
    <row r="190" spans="1:16" x14ac:dyDescent="0.25">
      <c r="A190" s="93" t="s">
        <v>68</v>
      </c>
      <c r="B190" s="22">
        <v>30</v>
      </c>
      <c r="C190" s="22"/>
      <c r="D190" s="21" t="s">
        <v>19</v>
      </c>
      <c r="E190" s="21" t="s">
        <v>30</v>
      </c>
      <c r="F190" s="22" t="s">
        <v>65</v>
      </c>
      <c r="G190" s="25">
        <v>188648.92120129717</v>
      </c>
      <c r="H190" s="31">
        <v>8004.2681727944218</v>
      </c>
      <c r="I190" s="29">
        <v>8839</v>
      </c>
      <c r="J190" s="30">
        <v>1382.9</v>
      </c>
      <c r="K190" s="24">
        <f t="shared" si="10"/>
        <v>180645</v>
      </c>
      <c r="L190" s="25">
        <f t="shared" si="11"/>
        <v>20.440000000000001</v>
      </c>
      <c r="M190" s="26">
        <f t="shared" si="12"/>
        <v>4.2429440475058408E-2</v>
      </c>
      <c r="N190" s="27">
        <f t="shared" si="13"/>
        <v>6.4</v>
      </c>
      <c r="O190" s="25">
        <f t="shared" si="14"/>
        <v>136.41999999999999</v>
      </c>
      <c r="P190" s="143"/>
    </row>
    <row r="191" spans="1:16" x14ac:dyDescent="0.25">
      <c r="A191" s="93" t="s">
        <v>67</v>
      </c>
      <c r="B191" s="21">
        <v>645</v>
      </c>
      <c r="D191" s="21" t="s">
        <v>20</v>
      </c>
      <c r="E191" s="21" t="s">
        <v>30</v>
      </c>
      <c r="F191" s="21" t="s">
        <v>65</v>
      </c>
      <c r="G191" s="25">
        <v>271090.93557957106</v>
      </c>
      <c r="H191" s="25">
        <v>10759.364728951585</v>
      </c>
      <c r="I191" s="34">
        <v>11875.975802428005</v>
      </c>
      <c r="J191" s="34">
        <v>1030.6900000000007</v>
      </c>
      <c r="K191" s="24">
        <f t="shared" si="10"/>
        <v>260332</v>
      </c>
      <c r="L191" s="25">
        <f t="shared" si="11"/>
        <v>21.92</v>
      </c>
      <c r="M191" s="26">
        <f t="shared" si="12"/>
        <v>3.9689134961111518E-2</v>
      </c>
      <c r="N191" s="27">
        <f t="shared" si="13"/>
        <v>11.5</v>
      </c>
      <c r="O191" s="25">
        <f t="shared" si="14"/>
        <v>263.02</v>
      </c>
      <c r="P191" s="143"/>
    </row>
    <row r="192" spans="1:16" x14ac:dyDescent="0.25">
      <c r="A192" s="93" t="s">
        <v>9</v>
      </c>
      <c r="B192" s="21">
        <v>495</v>
      </c>
      <c r="D192" s="21" t="s">
        <v>99</v>
      </c>
      <c r="E192" s="21" t="s">
        <v>30</v>
      </c>
      <c r="F192" s="22" t="s">
        <v>65</v>
      </c>
      <c r="G192" s="191">
        <v>314351.01570000005</v>
      </c>
      <c r="H192" s="207">
        <v>29848.016090219029</v>
      </c>
      <c r="I192" s="208">
        <v>12702</v>
      </c>
      <c r="J192" s="209">
        <v>1565.9999999999998</v>
      </c>
      <c r="K192" s="24">
        <f t="shared" si="10"/>
        <v>284503</v>
      </c>
      <c r="L192" s="25">
        <f t="shared" si="11"/>
        <v>22.4</v>
      </c>
      <c r="M192" s="26">
        <f t="shared" si="12"/>
        <v>9.4951231583435991E-2</v>
      </c>
      <c r="N192" s="27">
        <f t="shared" si="13"/>
        <v>8.1</v>
      </c>
      <c r="O192" s="25">
        <f t="shared" si="14"/>
        <v>200.74</v>
      </c>
      <c r="P192" s="143"/>
    </row>
    <row r="193" spans="1:16" x14ac:dyDescent="0.25">
      <c r="A193" s="93" t="s">
        <v>67</v>
      </c>
      <c r="B193" s="22">
        <v>23</v>
      </c>
      <c r="C193" s="22"/>
      <c r="D193" s="21" t="s">
        <v>19</v>
      </c>
      <c r="E193" s="21" t="s">
        <v>30</v>
      </c>
      <c r="F193" s="22" t="s">
        <v>65</v>
      </c>
      <c r="G193" s="25">
        <v>399987.96045792836</v>
      </c>
      <c r="H193" s="25">
        <v>14450.432161559209</v>
      </c>
      <c r="I193" s="29">
        <v>17124.905025165899</v>
      </c>
      <c r="J193" s="30">
        <v>1119.559999999999</v>
      </c>
      <c r="K193" s="24">
        <f t="shared" si="10"/>
        <v>385538</v>
      </c>
      <c r="L193" s="25">
        <f t="shared" si="11"/>
        <v>22.51</v>
      </c>
      <c r="M193" s="26">
        <f t="shared" si="12"/>
        <v>3.612716779028937E-2</v>
      </c>
      <c r="N193" s="27">
        <f t="shared" si="13"/>
        <v>15.3</v>
      </c>
      <c r="O193" s="25">
        <f t="shared" si="14"/>
        <v>357.27</v>
      </c>
      <c r="P193" s="143"/>
    </row>
    <row r="194" spans="1:16" x14ac:dyDescent="0.25">
      <c r="A194" s="93" t="s">
        <v>67</v>
      </c>
      <c r="B194" s="22">
        <v>7</v>
      </c>
      <c r="D194" s="22" t="s">
        <v>18</v>
      </c>
      <c r="E194" s="21" t="s">
        <v>30</v>
      </c>
      <c r="F194" s="22" t="s">
        <v>65</v>
      </c>
      <c r="G194" s="25">
        <v>456382.22848173103</v>
      </c>
      <c r="H194" s="25">
        <v>18289.897780909654</v>
      </c>
      <c r="I194" s="29">
        <v>19051.977670941866</v>
      </c>
      <c r="J194" s="30">
        <v>1572.6200000000006</v>
      </c>
      <c r="K194" s="24">
        <f t="shared" si="10"/>
        <v>438092</v>
      </c>
      <c r="L194" s="25">
        <f t="shared" si="11"/>
        <v>22.99</v>
      </c>
      <c r="M194" s="26">
        <f t="shared" si="12"/>
        <v>4.0075832579536556E-2</v>
      </c>
      <c r="N194" s="27">
        <f t="shared" si="13"/>
        <v>12.1</v>
      </c>
      <c r="O194" s="25">
        <f t="shared" si="14"/>
        <v>290.20999999999998</v>
      </c>
      <c r="P194" s="210"/>
    </row>
    <row r="195" spans="1:16" x14ac:dyDescent="0.25">
      <c r="A195" s="93" t="s">
        <v>67</v>
      </c>
      <c r="B195" s="22">
        <v>9</v>
      </c>
      <c r="D195" s="22" t="s">
        <v>18</v>
      </c>
      <c r="E195" s="21" t="s">
        <v>30</v>
      </c>
      <c r="F195" s="22" t="s">
        <v>65</v>
      </c>
      <c r="G195" s="25">
        <v>811399.09792945534</v>
      </c>
      <c r="H195" s="25">
        <v>30067.497943352279</v>
      </c>
      <c r="I195" s="29">
        <v>33541.480645397925</v>
      </c>
      <c r="J195" s="30">
        <v>2724.5399999999977</v>
      </c>
      <c r="K195" s="24">
        <f t="shared" ref="K195:K258" si="15">ROUND(G195-H195,0)</f>
        <v>781332</v>
      </c>
      <c r="L195" s="25">
        <f t="shared" ref="L195:L258" si="16">ROUND(K195/I195,2)</f>
        <v>23.29</v>
      </c>
      <c r="M195" s="26">
        <f t="shared" ref="M195:M258" si="17">+H195/G195</f>
        <v>3.7056361068282091E-2</v>
      </c>
      <c r="N195" s="27">
        <f t="shared" ref="N195:N258" si="18">ROUND(I195/J195,1)</f>
        <v>12.3</v>
      </c>
      <c r="O195" s="25">
        <f t="shared" ref="O195:O258" si="19">ROUND(G195/J195,2)</f>
        <v>297.81</v>
      </c>
      <c r="P195" s="210"/>
    </row>
    <row r="196" spans="1:16" x14ac:dyDescent="0.25">
      <c r="A196" s="93" t="s">
        <v>67</v>
      </c>
      <c r="B196" s="22">
        <v>5</v>
      </c>
      <c r="C196" s="22"/>
      <c r="D196" s="21" t="s">
        <v>19</v>
      </c>
      <c r="E196" s="21" t="s">
        <v>30</v>
      </c>
      <c r="F196" s="22" t="s">
        <v>65</v>
      </c>
      <c r="G196" s="25">
        <v>674938.61140928906</v>
      </c>
      <c r="H196" s="25">
        <v>22461.77875320553</v>
      </c>
      <c r="I196" s="29">
        <v>27472.764302538038</v>
      </c>
      <c r="J196" s="30">
        <v>2239.7500000000014</v>
      </c>
      <c r="K196" s="24">
        <f t="shared" si="15"/>
        <v>652477</v>
      </c>
      <c r="L196" s="25">
        <f t="shared" si="16"/>
        <v>23.75</v>
      </c>
      <c r="M196" s="26">
        <f t="shared" si="17"/>
        <v>3.3279735924878803E-2</v>
      </c>
      <c r="N196" s="27">
        <f t="shared" si="18"/>
        <v>12.3</v>
      </c>
      <c r="O196" s="25">
        <f t="shared" si="19"/>
        <v>301.35000000000002</v>
      </c>
      <c r="P196" s="143"/>
    </row>
    <row r="197" spans="1:16" x14ac:dyDescent="0.25">
      <c r="A197" s="93" t="s">
        <v>68</v>
      </c>
      <c r="B197" s="21">
        <v>323</v>
      </c>
      <c r="D197" s="21" t="s">
        <v>20</v>
      </c>
      <c r="E197" s="21" t="s">
        <v>30</v>
      </c>
      <c r="F197" s="21" t="s">
        <v>65</v>
      </c>
      <c r="G197" s="24">
        <v>116631.24316927005</v>
      </c>
      <c r="H197" s="24">
        <v>3925.1696897891675</v>
      </c>
      <c r="I197" s="28">
        <v>4468</v>
      </c>
      <c r="J197" s="28">
        <v>893.32</v>
      </c>
      <c r="K197" s="24">
        <f t="shared" si="15"/>
        <v>112706</v>
      </c>
      <c r="L197" s="25">
        <f t="shared" si="16"/>
        <v>25.23</v>
      </c>
      <c r="M197" s="26">
        <f t="shared" si="17"/>
        <v>3.3654530151003052E-2</v>
      </c>
      <c r="N197" s="27">
        <f t="shared" si="18"/>
        <v>5</v>
      </c>
      <c r="O197" s="25">
        <f t="shared" si="19"/>
        <v>130.56</v>
      </c>
      <c r="P197" s="143"/>
    </row>
    <row r="198" spans="1:16" x14ac:dyDescent="0.25">
      <c r="A198" s="93" t="s">
        <v>67</v>
      </c>
      <c r="B198" s="21">
        <v>612</v>
      </c>
      <c r="D198" s="21" t="s">
        <v>20</v>
      </c>
      <c r="E198" s="21" t="s">
        <v>30</v>
      </c>
      <c r="F198" s="21" t="s">
        <v>65</v>
      </c>
      <c r="G198" s="25">
        <v>603344.63452104374</v>
      </c>
      <c r="H198" s="25">
        <v>16621.343868030232</v>
      </c>
      <c r="I198" s="34">
        <v>20915.509002451705</v>
      </c>
      <c r="J198" s="34">
        <v>1949.5199999999991</v>
      </c>
      <c r="K198" s="24">
        <f t="shared" si="15"/>
        <v>586723</v>
      </c>
      <c r="L198" s="25">
        <f t="shared" si="16"/>
        <v>28.05</v>
      </c>
      <c r="M198" s="26">
        <f t="shared" si="17"/>
        <v>2.7548672710456506E-2</v>
      </c>
      <c r="N198" s="27">
        <f t="shared" si="18"/>
        <v>10.7</v>
      </c>
      <c r="O198" s="25">
        <f t="shared" si="19"/>
        <v>309.48</v>
      </c>
      <c r="P198" s="143"/>
    </row>
    <row r="199" spans="1:16" x14ac:dyDescent="0.25">
      <c r="A199" s="93" t="s">
        <v>68</v>
      </c>
      <c r="B199" s="21">
        <v>225</v>
      </c>
      <c r="D199" s="21" t="s">
        <v>20</v>
      </c>
      <c r="E199" s="21" t="s">
        <v>30</v>
      </c>
      <c r="F199" s="21" t="s">
        <v>65</v>
      </c>
      <c r="G199" s="24">
        <v>28964.72959904329</v>
      </c>
      <c r="H199" s="24">
        <v>816.54235133622876</v>
      </c>
      <c r="I199" s="28">
        <v>975</v>
      </c>
      <c r="J199" s="28">
        <v>254.32599999999999</v>
      </c>
      <c r="K199" s="24">
        <f t="shared" si="15"/>
        <v>28148</v>
      </c>
      <c r="L199" s="25">
        <f t="shared" si="16"/>
        <v>28.87</v>
      </c>
      <c r="M199" s="26">
        <f t="shared" si="17"/>
        <v>2.8190919184800513E-2</v>
      </c>
      <c r="N199" s="27">
        <f t="shared" si="18"/>
        <v>3.8</v>
      </c>
      <c r="O199" s="25">
        <f t="shared" si="19"/>
        <v>113.89</v>
      </c>
      <c r="P199" s="143"/>
    </row>
    <row r="200" spans="1:16" x14ac:dyDescent="0.25">
      <c r="A200" s="93" t="s">
        <v>68</v>
      </c>
      <c r="B200" s="21">
        <v>227</v>
      </c>
      <c r="D200" s="21" t="s">
        <v>20</v>
      </c>
      <c r="E200" s="21" t="s">
        <v>30</v>
      </c>
      <c r="F200" s="21" t="s">
        <v>65</v>
      </c>
      <c r="G200" s="24">
        <v>29724.558823977506</v>
      </c>
      <c r="H200" s="24">
        <v>1047.895233115567</v>
      </c>
      <c r="I200" s="28">
        <v>949</v>
      </c>
      <c r="J200" s="28">
        <v>262.8</v>
      </c>
      <c r="K200" s="24">
        <f t="shared" si="15"/>
        <v>28677</v>
      </c>
      <c r="L200" s="25">
        <f t="shared" si="16"/>
        <v>30.22</v>
      </c>
      <c r="M200" s="26">
        <f t="shared" si="17"/>
        <v>3.5253516774495425E-2</v>
      </c>
      <c r="N200" s="27">
        <f t="shared" si="18"/>
        <v>3.6</v>
      </c>
      <c r="O200" s="25">
        <f t="shared" si="19"/>
        <v>113.11</v>
      </c>
      <c r="P200" s="143"/>
    </row>
    <row r="201" spans="1:16" x14ac:dyDescent="0.25">
      <c r="A201" s="93" t="s">
        <v>67</v>
      </c>
      <c r="B201" s="22">
        <v>71</v>
      </c>
      <c r="D201" s="22" t="s">
        <v>18</v>
      </c>
      <c r="E201" s="21" t="s">
        <v>30</v>
      </c>
      <c r="F201" s="22" t="s">
        <v>65</v>
      </c>
      <c r="G201" s="25">
        <v>652610.07479996793</v>
      </c>
      <c r="H201" s="25">
        <v>15614.814252534217</v>
      </c>
      <c r="I201" s="29">
        <v>21037.383326535917</v>
      </c>
      <c r="J201" s="30">
        <v>2027.7200000000012</v>
      </c>
      <c r="K201" s="24">
        <f t="shared" si="15"/>
        <v>636995</v>
      </c>
      <c r="L201" s="25">
        <f t="shared" si="16"/>
        <v>30.28</v>
      </c>
      <c r="M201" s="26">
        <f t="shared" si="17"/>
        <v>2.392671344726072E-2</v>
      </c>
      <c r="N201" s="27">
        <f t="shared" si="18"/>
        <v>10.4</v>
      </c>
      <c r="O201" s="25">
        <f t="shared" si="19"/>
        <v>321.83999999999997</v>
      </c>
      <c r="P201" s="143"/>
    </row>
    <row r="202" spans="1:16" ht="15" customHeight="1" x14ac:dyDescent="0.25">
      <c r="A202" s="93" t="s">
        <v>9</v>
      </c>
      <c r="C202" s="21" t="s">
        <v>36</v>
      </c>
      <c r="D202" s="21" t="s">
        <v>94</v>
      </c>
      <c r="E202" s="21" t="s">
        <v>31</v>
      </c>
      <c r="F202" s="207" t="s">
        <v>65</v>
      </c>
      <c r="G202" s="207">
        <v>418477.38750000001</v>
      </c>
      <c r="H202" s="215">
        <v>27180.52</v>
      </c>
      <c r="I202" s="216">
        <v>12821</v>
      </c>
      <c r="J202" s="24">
        <v>4604.63</v>
      </c>
      <c r="K202" s="24">
        <f t="shared" si="15"/>
        <v>391297</v>
      </c>
      <c r="L202" s="25">
        <f t="shared" si="16"/>
        <v>30.52</v>
      </c>
      <c r="M202" s="26">
        <f t="shared" si="17"/>
        <v>6.495098854056959E-2</v>
      </c>
      <c r="N202" s="27">
        <f t="shared" si="18"/>
        <v>2.8</v>
      </c>
      <c r="O202" s="25">
        <f t="shared" si="19"/>
        <v>90.88</v>
      </c>
      <c r="P202" s="143"/>
    </row>
    <row r="203" spans="1:16" ht="15" customHeight="1" x14ac:dyDescent="0.25">
      <c r="A203" s="93" t="s">
        <v>9</v>
      </c>
      <c r="B203" s="21">
        <v>445</v>
      </c>
      <c r="D203" s="21" t="s">
        <v>20</v>
      </c>
      <c r="E203" s="21" t="s">
        <v>30</v>
      </c>
      <c r="F203" s="21" t="s">
        <v>65</v>
      </c>
      <c r="G203" s="24">
        <v>158054.71650000001</v>
      </c>
      <c r="H203" s="25">
        <v>11199.468169263415</v>
      </c>
      <c r="I203" s="34">
        <v>4766</v>
      </c>
      <c r="J203" s="34">
        <v>754.07999999999993</v>
      </c>
      <c r="K203" s="24">
        <f t="shared" si="15"/>
        <v>146855</v>
      </c>
      <c r="L203" s="25">
        <f t="shared" si="16"/>
        <v>30.81</v>
      </c>
      <c r="M203" s="26">
        <f t="shared" si="17"/>
        <v>7.0858171254025271E-2</v>
      </c>
      <c r="N203" s="27">
        <f t="shared" si="18"/>
        <v>6.3</v>
      </c>
      <c r="O203" s="25">
        <f t="shared" si="19"/>
        <v>209.6</v>
      </c>
      <c r="P203" s="143"/>
    </row>
    <row r="204" spans="1:16" ht="15" customHeight="1" x14ac:dyDescent="0.25">
      <c r="A204" s="93" t="s">
        <v>68</v>
      </c>
      <c r="B204" s="21">
        <v>615</v>
      </c>
      <c r="D204" s="21" t="s">
        <v>20</v>
      </c>
      <c r="E204" s="21" t="s">
        <v>30</v>
      </c>
      <c r="F204" s="21" t="s">
        <v>65</v>
      </c>
      <c r="G204" s="24">
        <v>78905.788130132598</v>
      </c>
      <c r="H204" s="24">
        <v>2505.8403738577895</v>
      </c>
      <c r="I204" s="34">
        <v>2477</v>
      </c>
      <c r="J204" s="34">
        <v>822.95900000000006</v>
      </c>
      <c r="K204" s="24">
        <f t="shared" si="15"/>
        <v>76400</v>
      </c>
      <c r="L204" s="25">
        <f t="shared" si="16"/>
        <v>30.84</v>
      </c>
      <c r="M204" s="26">
        <f t="shared" si="17"/>
        <v>3.1757370824623411E-2</v>
      </c>
      <c r="N204" s="27">
        <f t="shared" si="18"/>
        <v>3</v>
      </c>
      <c r="O204" s="25">
        <f t="shared" si="19"/>
        <v>95.88</v>
      </c>
      <c r="P204" s="143"/>
    </row>
    <row r="205" spans="1:16" ht="15" customHeight="1" x14ac:dyDescent="0.25">
      <c r="A205" s="93" t="s">
        <v>69</v>
      </c>
      <c r="C205" s="21" t="s">
        <v>95</v>
      </c>
      <c r="D205" s="21" t="s">
        <v>94</v>
      </c>
      <c r="E205" s="21" t="s">
        <v>31</v>
      </c>
      <c r="F205" s="207" t="s">
        <v>65</v>
      </c>
      <c r="G205" s="207">
        <v>90387.409199680944</v>
      </c>
      <c r="H205" s="215">
        <v>4234.1143312948689</v>
      </c>
      <c r="I205" s="216">
        <v>2664</v>
      </c>
      <c r="J205" s="24">
        <v>924.06540813613401</v>
      </c>
      <c r="K205" s="24">
        <f t="shared" si="15"/>
        <v>86153</v>
      </c>
      <c r="L205" s="25">
        <f t="shared" si="16"/>
        <v>32.340000000000003</v>
      </c>
      <c r="M205" s="26">
        <f t="shared" si="17"/>
        <v>4.6844072297071819E-2</v>
      </c>
      <c r="N205" s="27">
        <f t="shared" si="18"/>
        <v>2.9</v>
      </c>
      <c r="O205" s="25">
        <f t="shared" si="19"/>
        <v>97.81</v>
      </c>
      <c r="P205" s="143"/>
    </row>
    <row r="206" spans="1:16" ht="15" customHeight="1" x14ac:dyDescent="0.25">
      <c r="A206" s="93" t="s">
        <v>68</v>
      </c>
      <c r="B206" s="22">
        <v>33</v>
      </c>
      <c r="C206" s="22"/>
      <c r="D206" s="21" t="s">
        <v>19</v>
      </c>
      <c r="E206" s="21" t="s">
        <v>30</v>
      </c>
      <c r="F206" s="22" t="s">
        <v>65</v>
      </c>
      <c r="G206" s="25">
        <v>22409.25709377872</v>
      </c>
      <c r="H206" s="31">
        <v>892.14527368126608</v>
      </c>
      <c r="I206" s="29">
        <v>663</v>
      </c>
      <c r="J206" s="30">
        <v>153.69999999999999</v>
      </c>
      <c r="K206" s="24">
        <f t="shared" si="15"/>
        <v>21517</v>
      </c>
      <c r="L206" s="25">
        <f t="shared" si="16"/>
        <v>32.450000000000003</v>
      </c>
      <c r="M206" s="26">
        <f t="shared" si="17"/>
        <v>3.9811461395074285E-2</v>
      </c>
      <c r="N206" s="27">
        <f t="shared" si="18"/>
        <v>4.3</v>
      </c>
      <c r="O206" s="25">
        <f t="shared" si="19"/>
        <v>145.80000000000001</v>
      </c>
      <c r="P206" s="143"/>
    </row>
    <row r="207" spans="1:16" ht="15" customHeight="1" x14ac:dyDescent="0.25">
      <c r="A207" s="93" t="s">
        <v>10</v>
      </c>
      <c r="C207" s="21" t="s">
        <v>7</v>
      </c>
      <c r="D207" s="21" t="s">
        <v>94</v>
      </c>
      <c r="E207" s="21" t="s">
        <v>31</v>
      </c>
      <c r="F207" s="207" t="s">
        <v>65</v>
      </c>
      <c r="G207" s="207">
        <v>83185</v>
      </c>
      <c r="H207" s="215">
        <v>3705</v>
      </c>
      <c r="I207" s="216">
        <v>2251</v>
      </c>
      <c r="J207" s="24">
        <v>932</v>
      </c>
      <c r="K207" s="24">
        <f t="shared" si="15"/>
        <v>79480</v>
      </c>
      <c r="L207" s="25">
        <f t="shared" si="16"/>
        <v>35.31</v>
      </c>
      <c r="M207" s="26">
        <f t="shared" si="17"/>
        <v>4.4539279918254494E-2</v>
      </c>
      <c r="N207" s="27">
        <f t="shared" si="18"/>
        <v>2.4</v>
      </c>
      <c r="O207" s="25">
        <f t="shared" si="19"/>
        <v>89.25</v>
      </c>
      <c r="P207" s="173"/>
    </row>
    <row r="208" spans="1:16" ht="15" customHeight="1" x14ac:dyDescent="0.25">
      <c r="A208" s="93" t="s">
        <v>9</v>
      </c>
      <c r="B208" s="21">
        <v>446</v>
      </c>
      <c r="D208" s="21" t="s">
        <v>20</v>
      </c>
      <c r="E208" s="21" t="s">
        <v>30</v>
      </c>
      <c r="F208" s="21" t="s">
        <v>65</v>
      </c>
      <c r="G208" s="24">
        <v>139544.47169999997</v>
      </c>
      <c r="H208" s="25">
        <v>7695.8158317955695</v>
      </c>
      <c r="I208" s="34">
        <v>3275</v>
      </c>
      <c r="J208" s="34">
        <v>643.68000000000006</v>
      </c>
      <c r="K208" s="24">
        <f t="shared" si="15"/>
        <v>131849</v>
      </c>
      <c r="L208" s="25">
        <f t="shared" si="16"/>
        <v>40.26</v>
      </c>
      <c r="M208" s="26">
        <f t="shared" si="17"/>
        <v>5.5149557256130063E-2</v>
      </c>
      <c r="N208" s="27">
        <f t="shared" si="18"/>
        <v>5.0999999999999996</v>
      </c>
      <c r="O208" s="25">
        <f t="shared" si="19"/>
        <v>216.79</v>
      </c>
      <c r="P208" s="143"/>
    </row>
    <row r="209" spans="1:16" ht="15" customHeight="1" x14ac:dyDescent="0.25">
      <c r="A209" s="93" t="s">
        <v>68</v>
      </c>
      <c r="B209" s="21">
        <v>804</v>
      </c>
      <c r="D209" s="21" t="s">
        <v>20</v>
      </c>
      <c r="E209" s="21" t="s">
        <v>30</v>
      </c>
      <c r="F209" s="21" t="s">
        <v>65</v>
      </c>
      <c r="G209" s="24">
        <v>72719.212574749035</v>
      </c>
      <c r="H209" s="24">
        <v>1847.1825529808179</v>
      </c>
      <c r="I209" s="34">
        <v>1745</v>
      </c>
      <c r="J209" s="34">
        <v>730.05</v>
      </c>
      <c r="K209" s="24">
        <f t="shared" si="15"/>
        <v>70872</v>
      </c>
      <c r="L209" s="25">
        <f t="shared" si="16"/>
        <v>40.61</v>
      </c>
      <c r="M209" s="26">
        <f t="shared" si="17"/>
        <v>2.5401575286339559E-2</v>
      </c>
      <c r="N209" s="27">
        <f t="shared" si="18"/>
        <v>2.4</v>
      </c>
      <c r="O209" s="25">
        <f t="shared" si="19"/>
        <v>99.61</v>
      </c>
      <c r="P209" s="143"/>
    </row>
    <row r="210" spans="1:16" ht="15" customHeight="1" x14ac:dyDescent="0.25">
      <c r="A210" s="93" t="s">
        <v>9</v>
      </c>
      <c r="B210" s="21">
        <v>442</v>
      </c>
      <c r="D210" s="21" t="s">
        <v>20</v>
      </c>
      <c r="E210" s="21" t="s">
        <v>30</v>
      </c>
      <c r="F210" s="21" t="s">
        <v>65</v>
      </c>
      <c r="G210" s="24">
        <v>228988.73879999996</v>
      </c>
      <c r="H210" s="25">
        <v>12148.814610803998</v>
      </c>
      <c r="I210" s="34">
        <v>5170</v>
      </c>
      <c r="J210" s="34">
        <v>1239.1799999999998</v>
      </c>
      <c r="K210" s="24">
        <f t="shared" si="15"/>
        <v>216840</v>
      </c>
      <c r="L210" s="25">
        <f t="shared" si="16"/>
        <v>41.94</v>
      </c>
      <c r="M210" s="26">
        <f t="shared" si="17"/>
        <v>5.3054201156218603E-2</v>
      </c>
      <c r="N210" s="27">
        <f t="shared" si="18"/>
        <v>4.2</v>
      </c>
      <c r="O210" s="25">
        <f t="shared" si="19"/>
        <v>184.79</v>
      </c>
      <c r="P210" s="143"/>
    </row>
    <row r="211" spans="1:16" ht="15" customHeight="1" x14ac:dyDescent="0.25">
      <c r="A211" s="93" t="s">
        <v>34</v>
      </c>
      <c r="C211" s="21" t="s">
        <v>32</v>
      </c>
      <c r="D211" s="21" t="s">
        <v>94</v>
      </c>
      <c r="E211" s="21" t="s">
        <v>31</v>
      </c>
      <c r="F211" s="207" t="s">
        <v>65</v>
      </c>
      <c r="G211" s="207">
        <v>677266.77487471711</v>
      </c>
      <c r="H211" s="215">
        <v>58351.46</v>
      </c>
      <c r="I211" s="216">
        <v>13912</v>
      </c>
      <c r="J211" s="24">
        <v>5537</v>
      </c>
      <c r="K211" s="24">
        <f t="shared" si="15"/>
        <v>618915</v>
      </c>
      <c r="L211" s="25">
        <f t="shared" si="16"/>
        <v>44.49</v>
      </c>
      <c r="M211" s="26">
        <f t="shared" si="17"/>
        <v>8.6157275337763364E-2</v>
      </c>
      <c r="N211" s="27">
        <f t="shared" si="18"/>
        <v>2.5</v>
      </c>
      <c r="O211" s="25">
        <f t="shared" si="19"/>
        <v>122.32</v>
      </c>
      <c r="P211" s="143"/>
    </row>
    <row r="212" spans="1:16" ht="15" customHeight="1" x14ac:dyDescent="0.25">
      <c r="A212" s="93" t="s">
        <v>9</v>
      </c>
      <c r="B212" s="21">
        <v>410</v>
      </c>
      <c r="D212" s="21" t="s">
        <v>20</v>
      </c>
      <c r="E212" s="21" t="s">
        <v>30</v>
      </c>
      <c r="F212" s="21" t="s">
        <v>65</v>
      </c>
      <c r="G212" s="24">
        <v>119328.96779999998</v>
      </c>
      <c r="H212" s="25">
        <v>5785.3736115666234</v>
      </c>
      <c r="I212" s="28">
        <v>2462</v>
      </c>
      <c r="J212" s="28">
        <v>708.99000000000012</v>
      </c>
      <c r="K212" s="24">
        <f t="shared" si="15"/>
        <v>113544</v>
      </c>
      <c r="L212" s="25">
        <f t="shared" si="16"/>
        <v>46.12</v>
      </c>
      <c r="M212" s="26">
        <f t="shared" si="17"/>
        <v>4.8482558076452451E-2</v>
      </c>
      <c r="N212" s="27">
        <f t="shared" si="18"/>
        <v>3.5</v>
      </c>
      <c r="O212" s="25">
        <f t="shared" si="19"/>
        <v>168.31</v>
      </c>
      <c r="P212" s="143" t="s">
        <v>98</v>
      </c>
    </row>
    <row r="213" spans="1:16" ht="15" customHeight="1" x14ac:dyDescent="0.25">
      <c r="A213" s="93" t="s">
        <v>9</v>
      </c>
      <c r="B213" s="21">
        <v>497</v>
      </c>
      <c r="D213" s="21" t="s">
        <v>20</v>
      </c>
      <c r="E213" s="21" t="s">
        <v>30</v>
      </c>
      <c r="F213" s="21" t="s">
        <v>65</v>
      </c>
      <c r="G213" s="24">
        <v>70518.548999999999</v>
      </c>
      <c r="H213" s="25">
        <v>3071.2767304295598</v>
      </c>
      <c r="I213" s="34">
        <v>1307</v>
      </c>
      <c r="J213" s="34">
        <v>366.95999999999992</v>
      </c>
      <c r="K213" s="24">
        <f t="shared" si="15"/>
        <v>67447</v>
      </c>
      <c r="L213" s="25">
        <f t="shared" si="16"/>
        <v>51.6</v>
      </c>
      <c r="M213" s="26">
        <f t="shared" si="17"/>
        <v>4.3552749935758889E-2</v>
      </c>
      <c r="N213" s="27">
        <f t="shared" si="18"/>
        <v>3.6</v>
      </c>
      <c r="O213" s="25">
        <f t="shared" si="19"/>
        <v>192.17</v>
      </c>
      <c r="P213" s="143"/>
    </row>
    <row r="214" spans="1:16" ht="15" customHeight="1" x14ac:dyDescent="0.25">
      <c r="A214" s="93" t="s">
        <v>9</v>
      </c>
      <c r="B214" s="21">
        <v>499</v>
      </c>
      <c r="D214" s="21" t="s">
        <v>20</v>
      </c>
      <c r="E214" s="21" t="s">
        <v>30</v>
      </c>
      <c r="F214" s="21" t="s">
        <v>65</v>
      </c>
      <c r="G214" s="24">
        <v>75070.569599999973</v>
      </c>
      <c r="H214" s="25">
        <v>2927.93481722665</v>
      </c>
      <c r="I214" s="34">
        <v>1246</v>
      </c>
      <c r="J214" s="34">
        <v>362.81999999999994</v>
      </c>
      <c r="K214" s="24">
        <f t="shared" si="15"/>
        <v>72143</v>
      </c>
      <c r="L214" s="25">
        <f t="shared" si="16"/>
        <v>57.9</v>
      </c>
      <c r="M214" s="26">
        <f t="shared" si="17"/>
        <v>3.9002432415627376E-2</v>
      </c>
      <c r="N214" s="27">
        <f t="shared" si="18"/>
        <v>3.4</v>
      </c>
      <c r="O214" s="25">
        <f t="shared" si="19"/>
        <v>206.91</v>
      </c>
      <c r="P214" s="143"/>
    </row>
    <row r="215" spans="1:16" ht="15" customHeight="1" x14ac:dyDescent="0.25">
      <c r="A215" s="93" t="s">
        <v>9</v>
      </c>
      <c r="B215" s="21">
        <v>447</v>
      </c>
      <c r="D215" s="21" t="s">
        <v>20</v>
      </c>
      <c r="E215" s="21" t="s">
        <v>30</v>
      </c>
      <c r="F215" s="21" t="s">
        <v>65</v>
      </c>
      <c r="G215" s="24">
        <v>207736.65</v>
      </c>
      <c r="H215" s="25">
        <v>6332.8927226531478</v>
      </c>
      <c r="I215" s="34">
        <v>2695</v>
      </c>
      <c r="J215" s="34">
        <v>1128.06</v>
      </c>
      <c r="K215" s="24">
        <f t="shared" si="15"/>
        <v>201404</v>
      </c>
      <c r="L215" s="25">
        <f t="shared" si="16"/>
        <v>74.73</v>
      </c>
      <c r="M215" s="26">
        <f t="shared" si="17"/>
        <v>3.0485197112079875E-2</v>
      </c>
      <c r="N215" s="27">
        <f t="shared" si="18"/>
        <v>2.4</v>
      </c>
      <c r="O215" s="25">
        <f t="shared" si="19"/>
        <v>184.15</v>
      </c>
      <c r="P215" s="143"/>
    </row>
    <row r="216" spans="1:16" ht="15" customHeight="1" x14ac:dyDescent="0.25">
      <c r="A216" s="93" t="s">
        <v>9</v>
      </c>
      <c r="B216" s="21">
        <v>440</v>
      </c>
      <c r="D216" s="21" t="s">
        <v>20</v>
      </c>
      <c r="E216" s="21" t="s">
        <v>30</v>
      </c>
      <c r="F216" s="21" t="s">
        <v>65</v>
      </c>
      <c r="G216" s="24">
        <v>106680.11400000002</v>
      </c>
      <c r="H216" s="25">
        <v>3012.5300446906626</v>
      </c>
      <c r="I216" s="34">
        <v>1282</v>
      </c>
      <c r="J216" s="34">
        <v>517.31999999999994</v>
      </c>
      <c r="K216" s="24">
        <f t="shared" si="15"/>
        <v>103668</v>
      </c>
      <c r="L216" s="25">
        <f t="shared" si="16"/>
        <v>80.86</v>
      </c>
      <c r="M216" s="26">
        <f t="shared" si="17"/>
        <v>2.8238909125000204E-2</v>
      </c>
      <c r="N216" s="27">
        <f t="shared" si="18"/>
        <v>2.5</v>
      </c>
      <c r="O216" s="25">
        <f t="shared" si="19"/>
        <v>206.22</v>
      </c>
      <c r="P216" s="143"/>
    </row>
    <row r="217" spans="1:16" ht="15" customHeight="1" x14ac:dyDescent="0.25">
      <c r="A217" s="93" t="s">
        <v>9</v>
      </c>
      <c r="B217" s="21">
        <v>420</v>
      </c>
      <c r="D217" s="21" t="s">
        <v>20</v>
      </c>
      <c r="E217" s="21" t="s">
        <v>30</v>
      </c>
      <c r="F217" s="21" t="s">
        <v>65</v>
      </c>
      <c r="G217" s="24">
        <v>73302.359999999986</v>
      </c>
      <c r="H217" s="25">
        <v>1666.0560075551323</v>
      </c>
      <c r="I217" s="34">
        <v>709</v>
      </c>
      <c r="J217" s="34">
        <v>399.19</v>
      </c>
      <c r="K217" s="24">
        <f t="shared" si="15"/>
        <v>71636</v>
      </c>
      <c r="L217" s="25">
        <f t="shared" si="16"/>
        <v>101.04</v>
      </c>
      <c r="M217" s="26">
        <f t="shared" si="17"/>
        <v>2.2728545268598892E-2</v>
      </c>
      <c r="N217" s="27">
        <f t="shared" si="18"/>
        <v>1.8</v>
      </c>
      <c r="O217" s="25">
        <f t="shared" si="19"/>
        <v>183.63</v>
      </c>
      <c r="P217" s="143"/>
    </row>
    <row r="218" spans="1:16" ht="15.75" thickBot="1" x14ac:dyDescent="0.3">
      <c r="A218" s="145" t="s">
        <v>67</v>
      </c>
      <c r="B218" s="147">
        <v>924</v>
      </c>
      <c r="C218" s="147" t="s">
        <v>84</v>
      </c>
      <c r="D218" s="147" t="s">
        <v>53</v>
      </c>
      <c r="E218" s="147" t="s">
        <v>30</v>
      </c>
      <c r="F218" s="146" t="s">
        <v>66</v>
      </c>
      <c r="G218" s="218">
        <v>3365322.4334121305</v>
      </c>
      <c r="H218" s="218">
        <v>103902.35908158417</v>
      </c>
      <c r="I218" s="219">
        <v>489030.62116634334</v>
      </c>
      <c r="J218" s="220">
        <v>12190.159999999991</v>
      </c>
      <c r="K218" s="148">
        <f t="shared" si="15"/>
        <v>3261420</v>
      </c>
      <c r="L218" s="151">
        <f t="shared" si="16"/>
        <v>6.67</v>
      </c>
      <c r="M218" s="221">
        <f t="shared" si="17"/>
        <v>3.0874414305745036E-2</v>
      </c>
      <c r="N218" s="199">
        <f t="shared" si="18"/>
        <v>40.1</v>
      </c>
      <c r="O218" s="151">
        <f t="shared" si="19"/>
        <v>276.07</v>
      </c>
      <c r="P218" s="152"/>
    </row>
    <row r="219" spans="1:16" x14ac:dyDescent="0.25">
      <c r="A219" s="160" t="s">
        <v>67</v>
      </c>
      <c r="B219" s="162">
        <v>902</v>
      </c>
      <c r="C219" s="162" t="s">
        <v>22</v>
      </c>
      <c r="D219" s="162" t="s">
        <v>24</v>
      </c>
      <c r="E219" s="162" t="s">
        <v>105</v>
      </c>
      <c r="F219" s="161" t="s">
        <v>66</v>
      </c>
      <c r="G219" s="201">
        <v>7302852.6169954585</v>
      </c>
      <c r="H219" s="201">
        <v>900071.52889025258</v>
      </c>
      <c r="I219" s="202">
        <v>950045</v>
      </c>
      <c r="J219" s="203">
        <v>6489.2899999999945</v>
      </c>
      <c r="K219" s="163">
        <f t="shared" si="15"/>
        <v>6402781</v>
      </c>
      <c r="L219" s="204">
        <f t="shared" si="16"/>
        <v>6.74</v>
      </c>
      <c r="M219" s="205">
        <f t="shared" si="17"/>
        <v>0.12324930764665497</v>
      </c>
      <c r="N219" s="206">
        <f t="shared" si="18"/>
        <v>146.4</v>
      </c>
      <c r="O219" s="204">
        <f t="shared" si="19"/>
        <v>1125.3699999999999</v>
      </c>
      <c r="P219" s="169"/>
    </row>
    <row r="220" spans="1:16" x14ac:dyDescent="0.25">
      <c r="A220" s="93" t="s">
        <v>67</v>
      </c>
      <c r="B220" s="21">
        <v>901</v>
      </c>
      <c r="C220" s="21" t="s">
        <v>21</v>
      </c>
      <c r="D220" s="21" t="s">
        <v>24</v>
      </c>
      <c r="E220" s="21" t="s">
        <v>105</v>
      </c>
      <c r="F220" s="22" t="s">
        <v>66</v>
      </c>
      <c r="G220" s="207">
        <v>7644614.0959854713</v>
      </c>
      <c r="H220" s="207">
        <v>805873.41881505179</v>
      </c>
      <c r="I220" s="208">
        <v>988182</v>
      </c>
      <c r="J220" s="209">
        <v>5901.8500000000031</v>
      </c>
      <c r="K220" s="24">
        <f t="shared" si="15"/>
        <v>6838741</v>
      </c>
      <c r="L220" s="25">
        <f t="shared" si="16"/>
        <v>6.92</v>
      </c>
      <c r="M220" s="26">
        <f t="shared" si="17"/>
        <v>0.10541714842587697</v>
      </c>
      <c r="N220" s="27">
        <f t="shared" si="18"/>
        <v>167.4</v>
      </c>
      <c r="O220" s="25">
        <f t="shared" si="19"/>
        <v>1295.29</v>
      </c>
      <c r="P220" s="143"/>
    </row>
    <row r="221" spans="1:16" x14ac:dyDescent="0.25">
      <c r="A221" s="93" t="s">
        <v>68</v>
      </c>
      <c r="B221" s="22">
        <v>80</v>
      </c>
      <c r="C221" s="22"/>
      <c r="D221" s="21" t="s">
        <v>19</v>
      </c>
      <c r="E221" s="21" t="s">
        <v>30</v>
      </c>
      <c r="F221" s="22" t="s">
        <v>66</v>
      </c>
      <c r="G221" s="25">
        <v>50750.774451600206</v>
      </c>
      <c r="H221" s="31">
        <v>5851.245264236768</v>
      </c>
      <c r="I221" s="29">
        <v>5302</v>
      </c>
      <c r="J221" s="30">
        <v>432.47</v>
      </c>
      <c r="K221" s="24">
        <f t="shared" si="15"/>
        <v>44900</v>
      </c>
      <c r="L221" s="25">
        <f t="shared" si="16"/>
        <v>8.4700000000000006</v>
      </c>
      <c r="M221" s="26">
        <f t="shared" si="17"/>
        <v>0.11529371378986462</v>
      </c>
      <c r="N221" s="27">
        <f t="shared" si="18"/>
        <v>12.3</v>
      </c>
      <c r="O221" s="25">
        <f t="shared" si="19"/>
        <v>117.35</v>
      </c>
      <c r="P221" s="143"/>
    </row>
    <row r="222" spans="1:16" x14ac:dyDescent="0.25">
      <c r="A222" s="93" t="s">
        <v>67</v>
      </c>
      <c r="B222" s="21">
        <v>921</v>
      </c>
      <c r="C222" s="21" t="s">
        <v>82</v>
      </c>
      <c r="D222" s="21" t="s">
        <v>53</v>
      </c>
      <c r="E222" s="21" t="s">
        <v>30</v>
      </c>
      <c r="F222" s="22" t="s">
        <v>66</v>
      </c>
      <c r="G222" s="207">
        <v>1383641.4139696392</v>
      </c>
      <c r="H222" s="207">
        <v>75698.547277645965</v>
      </c>
      <c r="I222" s="208">
        <v>153792</v>
      </c>
      <c r="J222" s="209">
        <v>4062.9000000000042</v>
      </c>
      <c r="K222" s="24">
        <f t="shared" si="15"/>
        <v>1307943</v>
      </c>
      <c r="L222" s="25">
        <f t="shared" si="16"/>
        <v>8.5</v>
      </c>
      <c r="M222" s="26">
        <f t="shared" si="17"/>
        <v>5.4709657078323759E-2</v>
      </c>
      <c r="N222" s="27">
        <f t="shared" si="18"/>
        <v>37.9</v>
      </c>
      <c r="O222" s="25">
        <f t="shared" si="19"/>
        <v>340.56</v>
      </c>
      <c r="P222" s="143"/>
    </row>
    <row r="223" spans="1:16" x14ac:dyDescent="0.25">
      <c r="A223" s="93" t="s">
        <v>67</v>
      </c>
      <c r="B223" s="22">
        <v>21</v>
      </c>
      <c r="D223" s="22" t="s">
        <v>18</v>
      </c>
      <c r="E223" s="21" t="s">
        <v>30</v>
      </c>
      <c r="F223" s="22" t="s">
        <v>66</v>
      </c>
      <c r="G223" s="25">
        <v>2425431.8302689227</v>
      </c>
      <c r="H223" s="25">
        <v>194389.19320377053</v>
      </c>
      <c r="I223" s="29">
        <v>257382.9475525071</v>
      </c>
      <c r="J223" s="30">
        <v>8634.36</v>
      </c>
      <c r="K223" s="24">
        <f t="shared" si="15"/>
        <v>2231043</v>
      </c>
      <c r="L223" s="25">
        <f t="shared" si="16"/>
        <v>8.67</v>
      </c>
      <c r="M223" s="26">
        <f t="shared" si="17"/>
        <v>8.0146220057736028E-2</v>
      </c>
      <c r="N223" s="27">
        <f t="shared" si="18"/>
        <v>29.8</v>
      </c>
      <c r="O223" s="25">
        <f t="shared" si="19"/>
        <v>280.89999999999998</v>
      </c>
      <c r="P223" s="143"/>
    </row>
    <row r="224" spans="1:16" x14ac:dyDescent="0.25">
      <c r="A224" s="93" t="s">
        <v>67</v>
      </c>
      <c r="B224" s="21">
        <v>923</v>
      </c>
      <c r="C224" s="21" t="s">
        <v>83</v>
      </c>
      <c r="D224" s="21" t="s">
        <v>53</v>
      </c>
      <c r="E224" s="21" t="s">
        <v>30</v>
      </c>
      <c r="F224" s="22" t="s">
        <v>66</v>
      </c>
      <c r="G224" s="207">
        <v>1789304.5701439527</v>
      </c>
      <c r="H224" s="207">
        <v>58944.539265895954</v>
      </c>
      <c r="I224" s="208">
        <v>196670</v>
      </c>
      <c r="J224" s="209">
        <v>5631.9999999999964</v>
      </c>
      <c r="K224" s="24">
        <f t="shared" si="15"/>
        <v>1730360</v>
      </c>
      <c r="L224" s="25">
        <f t="shared" si="16"/>
        <v>8.8000000000000007</v>
      </c>
      <c r="M224" s="26">
        <f t="shared" si="17"/>
        <v>3.2942708720155874E-2</v>
      </c>
      <c r="N224" s="27">
        <f t="shared" si="18"/>
        <v>34.9</v>
      </c>
      <c r="O224" s="25">
        <f t="shared" si="19"/>
        <v>317.7</v>
      </c>
      <c r="P224" s="143"/>
    </row>
    <row r="225" spans="1:16" x14ac:dyDescent="0.25">
      <c r="A225" s="93" t="s">
        <v>67</v>
      </c>
      <c r="B225" s="22">
        <v>2</v>
      </c>
      <c r="D225" s="22" t="s">
        <v>18</v>
      </c>
      <c r="E225" s="21" t="s">
        <v>30</v>
      </c>
      <c r="F225" s="22" t="s">
        <v>66</v>
      </c>
      <c r="G225" s="25">
        <v>1065208.6570329661</v>
      </c>
      <c r="H225" s="25">
        <v>82647.61011568793</v>
      </c>
      <c r="I225" s="29">
        <v>96243.216234499865</v>
      </c>
      <c r="J225" s="30">
        <v>3426.6399999999976</v>
      </c>
      <c r="K225" s="24">
        <f t="shared" si="15"/>
        <v>982561</v>
      </c>
      <c r="L225" s="25">
        <f t="shared" si="16"/>
        <v>10.210000000000001</v>
      </c>
      <c r="M225" s="26">
        <f t="shared" si="17"/>
        <v>7.7588188539412281E-2</v>
      </c>
      <c r="N225" s="27">
        <f t="shared" si="18"/>
        <v>28.1</v>
      </c>
      <c r="O225" s="25">
        <f t="shared" si="19"/>
        <v>310.86</v>
      </c>
      <c r="P225" s="143"/>
    </row>
    <row r="226" spans="1:16" x14ac:dyDescent="0.25">
      <c r="A226" s="93" t="s">
        <v>67</v>
      </c>
      <c r="B226" s="22">
        <v>54</v>
      </c>
      <c r="D226" s="22" t="s">
        <v>18</v>
      </c>
      <c r="E226" s="21" t="s">
        <v>30</v>
      </c>
      <c r="F226" s="22" t="s">
        <v>66</v>
      </c>
      <c r="G226" s="25">
        <v>1120588.0861012549</v>
      </c>
      <c r="H226" s="25">
        <v>97517.104159016293</v>
      </c>
      <c r="I226" s="29">
        <v>99614.030873273397</v>
      </c>
      <c r="J226" s="30">
        <v>3845.4000000000042</v>
      </c>
      <c r="K226" s="24">
        <f t="shared" si="15"/>
        <v>1023071</v>
      </c>
      <c r="L226" s="25">
        <f t="shared" si="16"/>
        <v>10.27</v>
      </c>
      <c r="M226" s="26">
        <f t="shared" si="17"/>
        <v>8.7023149155812787E-2</v>
      </c>
      <c r="N226" s="27">
        <f t="shared" si="18"/>
        <v>25.9</v>
      </c>
      <c r="O226" s="25">
        <f t="shared" si="19"/>
        <v>291.41000000000003</v>
      </c>
      <c r="P226" s="143"/>
    </row>
    <row r="227" spans="1:16" x14ac:dyDescent="0.25">
      <c r="A227" s="93" t="s">
        <v>67</v>
      </c>
      <c r="B227" s="22">
        <v>18</v>
      </c>
      <c r="D227" s="22" t="s">
        <v>18</v>
      </c>
      <c r="E227" s="21" t="s">
        <v>30</v>
      </c>
      <c r="F227" s="22" t="s">
        <v>66</v>
      </c>
      <c r="G227" s="25">
        <v>2055398.2557028295</v>
      </c>
      <c r="H227" s="25">
        <v>150730.10946818261</v>
      </c>
      <c r="I227" s="29">
        <v>184787.51683390234</v>
      </c>
      <c r="J227" s="30">
        <v>7234.2299999999968</v>
      </c>
      <c r="K227" s="24">
        <f t="shared" si="15"/>
        <v>1904668</v>
      </c>
      <c r="L227" s="25">
        <f t="shared" si="16"/>
        <v>10.31</v>
      </c>
      <c r="M227" s="26">
        <f t="shared" si="17"/>
        <v>7.3333773175087894E-2</v>
      </c>
      <c r="N227" s="27">
        <f t="shared" si="18"/>
        <v>25.5</v>
      </c>
      <c r="O227" s="25">
        <f t="shared" si="19"/>
        <v>284.12</v>
      </c>
      <c r="P227" s="143"/>
    </row>
    <row r="228" spans="1:16" x14ac:dyDescent="0.25">
      <c r="A228" s="93" t="s">
        <v>67</v>
      </c>
      <c r="B228" s="22">
        <v>10</v>
      </c>
      <c r="D228" s="22" t="s">
        <v>18</v>
      </c>
      <c r="E228" s="21" t="s">
        <v>30</v>
      </c>
      <c r="F228" s="22" t="s">
        <v>66</v>
      </c>
      <c r="G228" s="25">
        <v>1481423.6428389933</v>
      </c>
      <c r="H228" s="25">
        <v>106371.64312272207</v>
      </c>
      <c r="I228" s="29">
        <v>133019.0539421326</v>
      </c>
      <c r="J228" s="30">
        <v>4823.2099999999955</v>
      </c>
      <c r="K228" s="24">
        <f t="shared" si="15"/>
        <v>1375052</v>
      </c>
      <c r="L228" s="25">
        <f t="shared" si="16"/>
        <v>10.34</v>
      </c>
      <c r="M228" s="26">
        <f t="shared" si="17"/>
        <v>7.1803662400629673E-2</v>
      </c>
      <c r="N228" s="27">
        <f t="shared" si="18"/>
        <v>27.6</v>
      </c>
      <c r="O228" s="25">
        <f t="shared" si="19"/>
        <v>307.14</v>
      </c>
      <c r="P228" s="143"/>
    </row>
    <row r="229" spans="1:16" x14ac:dyDescent="0.25">
      <c r="A229" s="93" t="s">
        <v>67</v>
      </c>
      <c r="B229" s="22">
        <v>64</v>
      </c>
      <c r="D229" s="22" t="s">
        <v>18</v>
      </c>
      <c r="E229" s="21" t="s">
        <v>30</v>
      </c>
      <c r="F229" s="22" t="s">
        <v>66</v>
      </c>
      <c r="G229" s="25">
        <v>1135010.0290448747</v>
      </c>
      <c r="H229" s="25">
        <v>83339.267099098885</v>
      </c>
      <c r="I229" s="29">
        <v>100455.69287207718</v>
      </c>
      <c r="J229" s="30">
        <v>4080.2999999999965</v>
      </c>
      <c r="K229" s="24">
        <f t="shared" si="15"/>
        <v>1051671</v>
      </c>
      <c r="L229" s="25">
        <f t="shared" si="16"/>
        <v>10.47</v>
      </c>
      <c r="M229" s="26">
        <f t="shared" si="17"/>
        <v>7.3426018243406999E-2</v>
      </c>
      <c r="N229" s="27">
        <f t="shared" si="18"/>
        <v>24.6</v>
      </c>
      <c r="O229" s="25">
        <f t="shared" si="19"/>
        <v>278.17</v>
      </c>
      <c r="P229" s="143"/>
    </row>
    <row r="230" spans="1:16" x14ac:dyDescent="0.25">
      <c r="A230" s="93" t="s">
        <v>67</v>
      </c>
      <c r="B230" s="22">
        <v>62</v>
      </c>
      <c r="D230" s="22" t="s">
        <v>18</v>
      </c>
      <c r="E230" s="21" t="s">
        <v>30</v>
      </c>
      <c r="F230" s="22" t="s">
        <v>66</v>
      </c>
      <c r="G230" s="25">
        <v>607491.33304008876</v>
      </c>
      <c r="H230" s="25">
        <v>15222.632002059008</v>
      </c>
      <c r="I230" s="29">
        <v>49822.640349980829</v>
      </c>
      <c r="J230" s="30">
        <v>2064.0399999999981</v>
      </c>
      <c r="K230" s="24">
        <f t="shared" si="15"/>
        <v>592269</v>
      </c>
      <c r="L230" s="25">
        <f t="shared" si="16"/>
        <v>11.89</v>
      </c>
      <c r="M230" s="26">
        <f t="shared" si="17"/>
        <v>2.50581879512254E-2</v>
      </c>
      <c r="N230" s="27">
        <f t="shared" si="18"/>
        <v>24.1</v>
      </c>
      <c r="O230" s="25">
        <f t="shared" si="19"/>
        <v>294.32</v>
      </c>
      <c r="P230" s="143"/>
    </row>
    <row r="231" spans="1:16" x14ac:dyDescent="0.25">
      <c r="A231" s="93" t="s">
        <v>68</v>
      </c>
      <c r="B231" s="22">
        <v>65</v>
      </c>
      <c r="C231" s="22"/>
      <c r="D231" s="21" t="s">
        <v>19</v>
      </c>
      <c r="E231" s="21" t="s">
        <v>30</v>
      </c>
      <c r="F231" s="22" t="s">
        <v>66</v>
      </c>
      <c r="G231" s="25">
        <v>109156.82937408483</v>
      </c>
      <c r="H231" s="31">
        <v>8509.1035027338348</v>
      </c>
      <c r="I231" s="29">
        <v>8336</v>
      </c>
      <c r="J231" s="30">
        <v>988.25</v>
      </c>
      <c r="K231" s="24">
        <f t="shared" si="15"/>
        <v>100648</v>
      </c>
      <c r="L231" s="25">
        <f t="shared" si="16"/>
        <v>12.07</v>
      </c>
      <c r="M231" s="26">
        <f t="shared" si="17"/>
        <v>7.7953010833365227E-2</v>
      </c>
      <c r="N231" s="27">
        <f t="shared" si="18"/>
        <v>8.4</v>
      </c>
      <c r="O231" s="25">
        <f t="shared" si="19"/>
        <v>110.45</v>
      </c>
      <c r="P231" s="143"/>
    </row>
    <row r="232" spans="1:16" x14ac:dyDescent="0.25">
      <c r="A232" s="93" t="s">
        <v>67</v>
      </c>
      <c r="B232" s="21">
        <v>724</v>
      </c>
      <c r="D232" s="21" t="s">
        <v>20</v>
      </c>
      <c r="E232" s="21" t="s">
        <v>30</v>
      </c>
      <c r="F232" s="21" t="s">
        <v>66</v>
      </c>
      <c r="G232" s="25">
        <v>463883.30248283205</v>
      </c>
      <c r="H232" s="25">
        <v>28696.113880375822</v>
      </c>
      <c r="I232" s="28">
        <v>33897.728669644071</v>
      </c>
      <c r="J232" s="28">
        <v>1312.7799999999995</v>
      </c>
      <c r="K232" s="24">
        <f t="shared" si="15"/>
        <v>435187</v>
      </c>
      <c r="L232" s="25">
        <f t="shared" si="16"/>
        <v>12.84</v>
      </c>
      <c r="M232" s="26">
        <f t="shared" si="17"/>
        <v>6.1860631169059682E-2</v>
      </c>
      <c r="N232" s="27">
        <f t="shared" si="18"/>
        <v>25.8</v>
      </c>
      <c r="O232" s="25">
        <f t="shared" si="19"/>
        <v>353.36</v>
      </c>
      <c r="P232" s="143"/>
    </row>
    <row r="233" spans="1:16" x14ac:dyDescent="0.25">
      <c r="A233" s="93" t="s">
        <v>68</v>
      </c>
      <c r="B233" s="21">
        <v>539</v>
      </c>
      <c r="D233" s="21" t="s">
        <v>20</v>
      </c>
      <c r="E233" s="21" t="s">
        <v>30</v>
      </c>
      <c r="F233" s="22" t="s">
        <v>66</v>
      </c>
      <c r="G233" s="24">
        <v>63573.745996573489</v>
      </c>
      <c r="H233" s="24">
        <v>4842.3652593234592</v>
      </c>
      <c r="I233" s="28">
        <v>4557</v>
      </c>
      <c r="J233" s="32">
        <v>477.9</v>
      </c>
      <c r="K233" s="24">
        <f t="shared" si="15"/>
        <v>58731</v>
      </c>
      <c r="L233" s="25">
        <f t="shared" si="16"/>
        <v>12.89</v>
      </c>
      <c r="M233" s="26">
        <f t="shared" si="17"/>
        <v>7.6169261122106188E-2</v>
      </c>
      <c r="N233" s="27">
        <f t="shared" si="18"/>
        <v>9.5</v>
      </c>
      <c r="O233" s="25">
        <f t="shared" si="19"/>
        <v>133.03</v>
      </c>
      <c r="P233" s="143"/>
    </row>
    <row r="234" spans="1:16" x14ac:dyDescent="0.25">
      <c r="A234" s="93" t="s">
        <v>67</v>
      </c>
      <c r="B234" s="22">
        <v>17</v>
      </c>
      <c r="D234" s="22" t="s">
        <v>18</v>
      </c>
      <c r="E234" s="21" t="s">
        <v>30</v>
      </c>
      <c r="F234" s="22" t="s">
        <v>66</v>
      </c>
      <c r="G234" s="25">
        <v>1241364.3197474803</v>
      </c>
      <c r="H234" s="25">
        <v>77838.78111974457</v>
      </c>
      <c r="I234" s="29">
        <v>87229.724556716377</v>
      </c>
      <c r="J234" s="30">
        <v>4329.149999999996</v>
      </c>
      <c r="K234" s="24">
        <f t="shared" si="15"/>
        <v>1163526</v>
      </c>
      <c r="L234" s="25">
        <f t="shared" si="16"/>
        <v>13.34</v>
      </c>
      <c r="M234" s="26">
        <f t="shared" si="17"/>
        <v>6.2704219769727731E-2</v>
      </c>
      <c r="N234" s="27">
        <f t="shared" si="18"/>
        <v>20.100000000000001</v>
      </c>
      <c r="O234" s="25">
        <f t="shared" si="19"/>
        <v>286.75</v>
      </c>
      <c r="P234" s="143"/>
    </row>
    <row r="235" spans="1:16" x14ac:dyDescent="0.25">
      <c r="A235" s="93" t="s">
        <v>67</v>
      </c>
      <c r="B235" s="22">
        <v>32</v>
      </c>
      <c r="C235" s="22"/>
      <c r="D235" s="21" t="s">
        <v>19</v>
      </c>
      <c r="E235" s="21" t="s">
        <v>30</v>
      </c>
      <c r="F235" s="22" t="s">
        <v>66</v>
      </c>
      <c r="G235" s="25">
        <v>497535.19588061824</v>
      </c>
      <c r="H235" s="25">
        <v>10392.525521081834</v>
      </c>
      <c r="I235" s="29">
        <v>35613.344154829487</v>
      </c>
      <c r="J235" s="30">
        <v>1651.2600000000014</v>
      </c>
      <c r="K235" s="24">
        <f t="shared" si="15"/>
        <v>487143</v>
      </c>
      <c r="L235" s="25">
        <f t="shared" si="16"/>
        <v>13.68</v>
      </c>
      <c r="M235" s="26">
        <f t="shared" si="17"/>
        <v>2.0888020801598694E-2</v>
      </c>
      <c r="N235" s="27">
        <f t="shared" si="18"/>
        <v>21.6</v>
      </c>
      <c r="O235" s="25">
        <f t="shared" si="19"/>
        <v>301.31</v>
      </c>
      <c r="P235" s="210"/>
    </row>
    <row r="236" spans="1:16" x14ac:dyDescent="0.25">
      <c r="A236" s="93" t="s">
        <v>67</v>
      </c>
      <c r="B236" s="22">
        <v>3</v>
      </c>
      <c r="D236" s="22" t="s">
        <v>18</v>
      </c>
      <c r="E236" s="21" t="s">
        <v>30</v>
      </c>
      <c r="F236" s="22" t="s">
        <v>66</v>
      </c>
      <c r="G236" s="25">
        <v>1126562.7424930381</v>
      </c>
      <c r="H236" s="25">
        <v>76080.656891231352</v>
      </c>
      <c r="I236" s="29">
        <v>76232.910545118066</v>
      </c>
      <c r="J236" s="30">
        <v>3976.2999999999975</v>
      </c>
      <c r="K236" s="24">
        <f t="shared" si="15"/>
        <v>1050482</v>
      </c>
      <c r="L236" s="25">
        <f t="shared" si="16"/>
        <v>13.78</v>
      </c>
      <c r="M236" s="26">
        <f t="shared" si="17"/>
        <v>6.7533439569346945E-2</v>
      </c>
      <c r="N236" s="27">
        <f t="shared" si="18"/>
        <v>19.2</v>
      </c>
      <c r="O236" s="25">
        <f t="shared" si="19"/>
        <v>283.32</v>
      </c>
      <c r="P236" s="143"/>
    </row>
    <row r="237" spans="1:16" x14ac:dyDescent="0.25">
      <c r="A237" s="93" t="s">
        <v>67</v>
      </c>
      <c r="B237" s="21">
        <v>515</v>
      </c>
      <c r="D237" s="21" t="s">
        <v>20</v>
      </c>
      <c r="E237" s="21" t="s">
        <v>30</v>
      </c>
      <c r="F237" s="21" t="s">
        <v>66</v>
      </c>
      <c r="G237" s="25">
        <v>555116.90866589162</v>
      </c>
      <c r="H237" s="25">
        <v>34144.163770735075</v>
      </c>
      <c r="I237" s="34">
        <v>36995.628155340142</v>
      </c>
      <c r="J237" s="34">
        <v>1543.3799999999985</v>
      </c>
      <c r="K237" s="24">
        <f t="shared" si="15"/>
        <v>520973</v>
      </c>
      <c r="L237" s="25">
        <f t="shared" si="16"/>
        <v>14.08</v>
      </c>
      <c r="M237" s="26">
        <f t="shared" si="17"/>
        <v>6.1508059361393787E-2</v>
      </c>
      <c r="N237" s="27">
        <f t="shared" si="18"/>
        <v>24</v>
      </c>
      <c r="O237" s="25">
        <f t="shared" si="19"/>
        <v>359.68</v>
      </c>
      <c r="P237" s="143"/>
    </row>
    <row r="238" spans="1:16" x14ac:dyDescent="0.25">
      <c r="A238" s="93" t="s">
        <v>67</v>
      </c>
      <c r="B238" s="22">
        <v>11</v>
      </c>
      <c r="D238" s="22" t="s">
        <v>18</v>
      </c>
      <c r="E238" s="21" t="s">
        <v>30</v>
      </c>
      <c r="F238" s="22" t="s">
        <v>66</v>
      </c>
      <c r="G238" s="25">
        <v>1027541.0791616226</v>
      </c>
      <c r="H238" s="25">
        <v>60930.895473573495</v>
      </c>
      <c r="I238" s="29">
        <v>66753.796449679532</v>
      </c>
      <c r="J238" s="30">
        <v>3601.7999999999965</v>
      </c>
      <c r="K238" s="24">
        <f t="shared" si="15"/>
        <v>966610</v>
      </c>
      <c r="L238" s="25">
        <f t="shared" si="16"/>
        <v>14.48</v>
      </c>
      <c r="M238" s="26">
        <f t="shared" si="17"/>
        <v>5.9297770871883204E-2</v>
      </c>
      <c r="N238" s="27">
        <f t="shared" si="18"/>
        <v>18.5</v>
      </c>
      <c r="O238" s="25">
        <f t="shared" si="19"/>
        <v>285.29000000000002</v>
      </c>
      <c r="P238" s="143"/>
    </row>
    <row r="239" spans="1:16" x14ac:dyDescent="0.25">
      <c r="A239" s="93" t="s">
        <v>68</v>
      </c>
      <c r="B239" s="22">
        <v>87</v>
      </c>
      <c r="C239" s="22"/>
      <c r="D239" s="21" t="s">
        <v>19</v>
      </c>
      <c r="E239" s="21" t="s">
        <v>30</v>
      </c>
      <c r="F239" s="22" t="s">
        <v>66</v>
      </c>
      <c r="G239" s="25">
        <v>147311.18408585986</v>
      </c>
      <c r="H239" s="31">
        <v>10917.685522349384</v>
      </c>
      <c r="I239" s="29">
        <v>8939</v>
      </c>
      <c r="J239" s="30">
        <v>1379.4199999999998</v>
      </c>
      <c r="K239" s="24">
        <f t="shared" si="15"/>
        <v>136393</v>
      </c>
      <c r="L239" s="25">
        <f t="shared" si="16"/>
        <v>15.26</v>
      </c>
      <c r="M239" s="26">
        <f t="shared" si="17"/>
        <v>7.411307966940274E-2</v>
      </c>
      <c r="N239" s="27">
        <f t="shared" si="18"/>
        <v>6.5</v>
      </c>
      <c r="O239" s="25">
        <f t="shared" si="19"/>
        <v>106.79</v>
      </c>
      <c r="P239" s="210"/>
    </row>
    <row r="240" spans="1:16" x14ac:dyDescent="0.25">
      <c r="A240" s="93" t="s">
        <v>67</v>
      </c>
      <c r="B240" s="22">
        <v>63</v>
      </c>
      <c r="D240" s="22" t="s">
        <v>18</v>
      </c>
      <c r="E240" s="21" t="s">
        <v>30</v>
      </c>
      <c r="F240" s="22" t="s">
        <v>66</v>
      </c>
      <c r="G240" s="25">
        <v>1365613.4653931069</v>
      </c>
      <c r="H240" s="25">
        <v>76807.623402213445</v>
      </c>
      <c r="I240" s="29">
        <v>84237.032820870794</v>
      </c>
      <c r="J240" s="30">
        <v>4641.7400000000034</v>
      </c>
      <c r="K240" s="24">
        <f t="shared" si="15"/>
        <v>1288806</v>
      </c>
      <c r="L240" s="25">
        <f t="shared" si="16"/>
        <v>15.3</v>
      </c>
      <c r="M240" s="26">
        <f t="shared" si="17"/>
        <v>5.624404368340314E-2</v>
      </c>
      <c r="N240" s="27">
        <f t="shared" si="18"/>
        <v>18.100000000000001</v>
      </c>
      <c r="O240" s="25">
        <f t="shared" si="19"/>
        <v>294.2</v>
      </c>
      <c r="P240" s="143"/>
    </row>
    <row r="241" spans="1:16" x14ac:dyDescent="0.25">
      <c r="A241" s="93" t="s">
        <v>67</v>
      </c>
      <c r="B241" s="22">
        <v>68</v>
      </c>
      <c r="D241" s="22" t="s">
        <v>18</v>
      </c>
      <c r="E241" s="21" t="s">
        <v>30</v>
      </c>
      <c r="F241" s="22" t="s">
        <v>66</v>
      </c>
      <c r="G241" s="25">
        <v>1187719.2670908684</v>
      </c>
      <c r="H241" s="25">
        <v>58154.578494588357</v>
      </c>
      <c r="I241" s="29">
        <v>72818.346148980971</v>
      </c>
      <c r="J241" s="30">
        <v>4130.4000000000042</v>
      </c>
      <c r="K241" s="24">
        <f t="shared" si="15"/>
        <v>1129565</v>
      </c>
      <c r="L241" s="25">
        <f t="shared" si="16"/>
        <v>15.51</v>
      </c>
      <c r="M241" s="26">
        <f t="shared" si="17"/>
        <v>4.8963235762798436E-2</v>
      </c>
      <c r="N241" s="27">
        <f t="shared" si="18"/>
        <v>17.600000000000001</v>
      </c>
      <c r="O241" s="25">
        <f t="shared" si="19"/>
        <v>287.56</v>
      </c>
      <c r="P241" s="143"/>
    </row>
    <row r="242" spans="1:16" x14ac:dyDescent="0.25">
      <c r="A242" s="93" t="s">
        <v>67</v>
      </c>
      <c r="B242" s="21">
        <v>904</v>
      </c>
      <c r="C242" s="21" t="s">
        <v>79</v>
      </c>
      <c r="D242" s="21" t="s">
        <v>23</v>
      </c>
      <c r="E242" s="21" t="s">
        <v>30</v>
      </c>
      <c r="F242" s="22" t="s">
        <v>66</v>
      </c>
      <c r="G242" s="207">
        <v>622514.27692252584</v>
      </c>
      <c r="H242" s="207">
        <v>14912.569483522084</v>
      </c>
      <c r="I242" s="208">
        <v>38659.160596045134</v>
      </c>
      <c r="J242" s="209">
        <v>2109.4599999999969</v>
      </c>
      <c r="K242" s="24">
        <f t="shared" si="15"/>
        <v>607602</v>
      </c>
      <c r="L242" s="25">
        <f t="shared" si="16"/>
        <v>15.72</v>
      </c>
      <c r="M242" s="26">
        <f t="shared" si="17"/>
        <v>2.3955385500946523E-2</v>
      </c>
      <c r="N242" s="27">
        <f t="shared" si="18"/>
        <v>18.3</v>
      </c>
      <c r="O242" s="25">
        <f t="shared" si="19"/>
        <v>295.11</v>
      </c>
      <c r="P242" s="143"/>
    </row>
    <row r="243" spans="1:16" x14ac:dyDescent="0.25">
      <c r="A243" s="93" t="s">
        <v>68</v>
      </c>
      <c r="B243" s="21">
        <v>538</v>
      </c>
      <c r="D243" s="21" t="s">
        <v>20</v>
      </c>
      <c r="E243" s="21" t="s">
        <v>30</v>
      </c>
      <c r="F243" s="21" t="s">
        <v>66</v>
      </c>
      <c r="G243" s="24">
        <v>104694.53861772756</v>
      </c>
      <c r="H243" s="24">
        <v>6048.1042620680219</v>
      </c>
      <c r="I243" s="34">
        <v>6226</v>
      </c>
      <c r="J243" s="34">
        <v>1033.68</v>
      </c>
      <c r="K243" s="24">
        <f t="shared" si="15"/>
        <v>98646</v>
      </c>
      <c r="L243" s="25">
        <f t="shared" si="16"/>
        <v>15.84</v>
      </c>
      <c r="M243" s="26">
        <f t="shared" si="17"/>
        <v>5.7769052158026489E-2</v>
      </c>
      <c r="N243" s="27">
        <f t="shared" si="18"/>
        <v>6</v>
      </c>
      <c r="O243" s="25">
        <f t="shared" si="19"/>
        <v>101.28</v>
      </c>
      <c r="P243" s="143"/>
    </row>
    <row r="244" spans="1:16" x14ac:dyDescent="0.25">
      <c r="A244" s="93" t="s">
        <v>68</v>
      </c>
      <c r="B244" s="21">
        <v>540</v>
      </c>
      <c r="D244" s="21" t="s">
        <v>20</v>
      </c>
      <c r="E244" s="21" t="s">
        <v>30</v>
      </c>
      <c r="F244" s="21" t="s">
        <v>66</v>
      </c>
      <c r="G244" s="24">
        <v>101377.26815057598</v>
      </c>
      <c r="H244" s="24">
        <v>7089.7331594483185</v>
      </c>
      <c r="I244" s="28">
        <v>5688</v>
      </c>
      <c r="J244" s="28">
        <v>684.4</v>
      </c>
      <c r="K244" s="24">
        <f t="shared" si="15"/>
        <v>94288</v>
      </c>
      <c r="L244" s="25">
        <f t="shared" si="16"/>
        <v>16.579999999999998</v>
      </c>
      <c r="M244" s="26">
        <f t="shared" si="17"/>
        <v>6.9934150809014842E-2</v>
      </c>
      <c r="N244" s="27">
        <f t="shared" si="18"/>
        <v>8.3000000000000007</v>
      </c>
      <c r="O244" s="25">
        <f t="shared" si="19"/>
        <v>148.13</v>
      </c>
      <c r="P244" s="143"/>
    </row>
    <row r="245" spans="1:16" x14ac:dyDescent="0.25">
      <c r="A245" s="93" t="s">
        <v>67</v>
      </c>
      <c r="B245" s="22">
        <v>4</v>
      </c>
      <c r="D245" s="22" t="s">
        <v>18</v>
      </c>
      <c r="E245" s="21" t="s">
        <v>30</v>
      </c>
      <c r="F245" s="22" t="s">
        <v>66</v>
      </c>
      <c r="G245" s="25">
        <v>1385055.533825682</v>
      </c>
      <c r="H245" s="25">
        <v>79743.510848197388</v>
      </c>
      <c r="I245" s="29">
        <v>74701.669037393382</v>
      </c>
      <c r="J245" s="30">
        <v>4752.3000000000029</v>
      </c>
      <c r="K245" s="24">
        <f t="shared" si="15"/>
        <v>1305312</v>
      </c>
      <c r="L245" s="25">
        <f t="shared" si="16"/>
        <v>17.47</v>
      </c>
      <c r="M245" s="26">
        <f t="shared" si="17"/>
        <v>5.7574233596205837E-2</v>
      </c>
      <c r="N245" s="27">
        <f t="shared" si="18"/>
        <v>15.7</v>
      </c>
      <c r="O245" s="25">
        <f t="shared" si="19"/>
        <v>291.45</v>
      </c>
      <c r="P245" s="143"/>
    </row>
    <row r="246" spans="1:16" x14ac:dyDescent="0.25">
      <c r="A246" s="93" t="s">
        <v>67</v>
      </c>
      <c r="B246" s="22">
        <v>6</v>
      </c>
      <c r="D246" s="22" t="s">
        <v>18</v>
      </c>
      <c r="E246" s="21" t="s">
        <v>30</v>
      </c>
      <c r="F246" s="22" t="s">
        <v>66</v>
      </c>
      <c r="G246" s="25">
        <v>2114017.6829118771</v>
      </c>
      <c r="H246" s="25">
        <v>109849.05003234479</v>
      </c>
      <c r="I246" s="29">
        <v>113675.41122210033</v>
      </c>
      <c r="J246" s="30">
        <v>7031.5599999999959</v>
      </c>
      <c r="K246" s="24">
        <f t="shared" si="15"/>
        <v>2004169</v>
      </c>
      <c r="L246" s="25">
        <f t="shared" si="16"/>
        <v>17.63</v>
      </c>
      <c r="M246" s="26">
        <f t="shared" si="17"/>
        <v>5.1962219105488844E-2</v>
      </c>
      <c r="N246" s="27">
        <f t="shared" si="18"/>
        <v>16.2</v>
      </c>
      <c r="O246" s="25">
        <f t="shared" si="19"/>
        <v>300.64999999999998</v>
      </c>
      <c r="P246" s="143"/>
    </row>
    <row r="247" spans="1:16" x14ac:dyDescent="0.25">
      <c r="A247" s="93" t="s">
        <v>67</v>
      </c>
      <c r="B247" s="211">
        <v>74</v>
      </c>
      <c r="D247" s="211" t="s">
        <v>18</v>
      </c>
      <c r="E247" s="21" t="s">
        <v>30</v>
      </c>
      <c r="F247" s="212" t="s">
        <v>66</v>
      </c>
      <c r="G247" s="222">
        <v>1182281.144409172</v>
      </c>
      <c r="H247" s="25">
        <v>56709.662260414341</v>
      </c>
      <c r="I247" s="29">
        <v>63346.523679769693</v>
      </c>
      <c r="J247" s="30">
        <v>4025.2000000000035</v>
      </c>
      <c r="K247" s="24">
        <f t="shared" si="15"/>
        <v>1125571</v>
      </c>
      <c r="L247" s="25">
        <f t="shared" si="16"/>
        <v>17.77</v>
      </c>
      <c r="M247" s="26">
        <f t="shared" si="17"/>
        <v>4.7966308630215178E-2</v>
      </c>
      <c r="N247" s="27">
        <f t="shared" si="18"/>
        <v>15.7</v>
      </c>
      <c r="O247" s="25">
        <f t="shared" si="19"/>
        <v>293.72000000000003</v>
      </c>
      <c r="P247" s="143"/>
    </row>
    <row r="248" spans="1:16" x14ac:dyDescent="0.25">
      <c r="A248" s="93" t="s">
        <v>67</v>
      </c>
      <c r="B248" s="22">
        <v>14</v>
      </c>
      <c r="D248" s="22" t="s">
        <v>18</v>
      </c>
      <c r="E248" s="21" t="s">
        <v>30</v>
      </c>
      <c r="F248" s="22" t="s">
        <v>66</v>
      </c>
      <c r="G248" s="25">
        <v>1485258.4031545003</v>
      </c>
      <c r="H248" s="25">
        <v>72631.367420457245</v>
      </c>
      <c r="I248" s="29">
        <v>79448.517711339911</v>
      </c>
      <c r="J248" s="30">
        <v>5141.6999999999989</v>
      </c>
      <c r="K248" s="24">
        <f t="shared" si="15"/>
        <v>1412627</v>
      </c>
      <c r="L248" s="25">
        <f t="shared" si="16"/>
        <v>17.78</v>
      </c>
      <c r="M248" s="26">
        <f t="shared" si="17"/>
        <v>4.8901502436342011E-2</v>
      </c>
      <c r="N248" s="27">
        <f t="shared" si="18"/>
        <v>15.5</v>
      </c>
      <c r="O248" s="25">
        <f t="shared" si="19"/>
        <v>288.87</v>
      </c>
      <c r="P248" s="143"/>
    </row>
    <row r="249" spans="1:16" x14ac:dyDescent="0.25">
      <c r="A249" s="93" t="s">
        <v>68</v>
      </c>
      <c r="B249" s="21">
        <v>903</v>
      </c>
      <c r="C249" s="21" t="s">
        <v>80</v>
      </c>
      <c r="D249" s="21" t="s">
        <v>23</v>
      </c>
      <c r="E249" s="21" t="s">
        <v>30</v>
      </c>
      <c r="F249" s="22" t="s">
        <v>66</v>
      </c>
      <c r="G249" s="191">
        <v>410381.37521940109</v>
      </c>
      <c r="H249" s="191">
        <v>14811.606269055012</v>
      </c>
      <c r="I249" s="208">
        <v>21553</v>
      </c>
      <c r="J249" s="209">
        <v>1374.7</v>
      </c>
      <c r="K249" s="24">
        <f t="shared" si="15"/>
        <v>395570</v>
      </c>
      <c r="L249" s="25">
        <f t="shared" si="16"/>
        <v>18.350000000000001</v>
      </c>
      <c r="M249" s="26">
        <f t="shared" si="17"/>
        <v>3.6092296491614224E-2</v>
      </c>
      <c r="N249" s="27">
        <f t="shared" si="18"/>
        <v>15.7</v>
      </c>
      <c r="O249" s="25">
        <f t="shared" si="19"/>
        <v>298.52</v>
      </c>
      <c r="P249" s="173"/>
    </row>
    <row r="250" spans="1:16" x14ac:dyDescent="0.25">
      <c r="A250" s="93" t="s">
        <v>67</v>
      </c>
      <c r="B250" s="22">
        <v>22</v>
      </c>
      <c r="D250" s="22" t="s">
        <v>18</v>
      </c>
      <c r="E250" s="21" t="s">
        <v>30</v>
      </c>
      <c r="F250" s="22" t="s">
        <v>66</v>
      </c>
      <c r="G250" s="25">
        <v>1394632.0366743281</v>
      </c>
      <c r="H250" s="25">
        <v>64281.74723149059</v>
      </c>
      <c r="I250" s="29">
        <v>70868.356963633618</v>
      </c>
      <c r="J250" s="30">
        <v>5159.0999999999949</v>
      </c>
      <c r="K250" s="24">
        <f t="shared" si="15"/>
        <v>1330350</v>
      </c>
      <c r="L250" s="25">
        <f t="shared" si="16"/>
        <v>18.77</v>
      </c>
      <c r="M250" s="26">
        <f t="shared" si="17"/>
        <v>4.609226343658241E-2</v>
      </c>
      <c r="N250" s="27">
        <f t="shared" si="18"/>
        <v>13.7</v>
      </c>
      <c r="O250" s="25">
        <f t="shared" si="19"/>
        <v>270.32</v>
      </c>
      <c r="P250" s="143"/>
    </row>
    <row r="251" spans="1:16" x14ac:dyDescent="0.25">
      <c r="A251" s="93" t="s">
        <v>68</v>
      </c>
      <c r="C251" s="21" t="s">
        <v>93</v>
      </c>
      <c r="D251" s="21" t="s">
        <v>94</v>
      </c>
      <c r="E251" s="21" t="s">
        <v>31</v>
      </c>
      <c r="F251" s="207" t="s">
        <v>66</v>
      </c>
      <c r="G251" s="207">
        <v>139714.76956910692</v>
      </c>
      <c r="H251" s="215">
        <v>433</v>
      </c>
      <c r="I251" s="216">
        <v>7371</v>
      </c>
      <c r="J251" s="24">
        <v>1757</v>
      </c>
      <c r="K251" s="24">
        <f t="shared" si="15"/>
        <v>139282</v>
      </c>
      <c r="L251" s="25">
        <f t="shared" si="16"/>
        <v>18.899999999999999</v>
      </c>
      <c r="M251" s="26">
        <f t="shared" si="17"/>
        <v>3.0991712711219538E-3</v>
      </c>
      <c r="N251" s="27">
        <f t="shared" si="18"/>
        <v>4.2</v>
      </c>
      <c r="O251" s="25">
        <f t="shared" si="19"/>
        <v>79.52</v>
      </c>
      <c r="P251" s="143"/>
    </row>
    <row r="252" spans="1:16" x14ac:dyDescent="0.25">
      <c r="A252" s="93" t="s">
        <v>67</v>
      </c>
      <c r="B252" s="21">
        <v>723</v>
      </c>
      <c r="D252" s="21" t="s">
        <v>20</v>
      </c>
      <c r="E252" s="21" t="s">
        <v>30</v>
      </c>
      <c r="F252" s="21" t="s">
        <v>66</v>
      </c>
      <c r="G252" s="25">
        <v>137862.12884806847</v>
      </c>
      <c r="H252" s="25">
        <v>5740.3645468367595</v>
      </c>
      <c r="I252" s="28">
        <v>6793.7123220274925</v>
      </c>
      <c r="J252" s="28">
        <v>441.04000000000048</v>
      </c>
      <c r="K252" s="24">
        <f t="shared" si="15"/>
        <v>132122</v>
      </c>
      <c r="L252" s="25">
        <f t="shared" si="16"/>
        <v>19.45</v>
      </c>
      <c r="M252" s="26">
        <f t="shared" si="17"/>
        <v>4.163844410935328E-2</v>
      </c>
      <c r="N252" s="27">
        <f t="shared" si="18"/>
        <v>15.4</v>
      </c>
      <c r="O252" s="25">
        <f t="shared" si="19"/>
        <v>312.58</v>
      </c>
      <c r="P252" s="143"/>
    </row>
    <row r="253" spans="1:16" x14ac:dyDescent="0.25">
      <c r="A253" s="93" t="s">
        <v>67</v>
      </c>
      <c r="B253" s="21">
        <v>722</v>
      </c>
      <c r="D253" s="21" t="s">
        <v>20</v>
      </c>
      <c r="E253" s="21" t="s">
        <v>30</v>
      </c>
      <c r="F253" s="21" t="s">
        <v>66</v>
      </c>
      <c r="G253" s="25">
        <v>381839.39577603008</v>
      </c>
      <c r="H253" s="25">
        <v>15978.281501893092</v>
      </c>
      <c r="I253" s="28">
        <v>18682.188055130802</v>
      </c>
      <c r="J253" s="28">
        <v>1219.1599999999994</v>
      </c>
      <c r="K253" s="24">
        <f t="shared" si="15"/>
        <v>365861</v>
      </c>
      <c r="L253" s="25">
        <f t="shared" si="16"/>
        <v>19.579999999999998</v>
      </c>
      <c r="M253" s="26">
        <f t="shared" si="17"/>
        <v>4.184555516965368E-2</v>
      </c>
      <c r="N253" s="27">
        <f t="shared" si="18"/>
        <v>15.3</v>
      </c>
      <c r="O253" s="25">
        <f t="shared" si="19"/>
        <v>313.2</v>
      </c>
      <c r="P253" s="143"/>
    </row>
    <row r="254" spans="1:16" x14ac:dyDescent="0.25">
      <c r="A254" s="93" t="s">
        <v>67</v>
      </c>
      <c r="B254" s="22">
        <v>71</v>
      </c>
      <c r="D254" s="22" t="s">
        <v>18</v>
      </c>
      <c r="E254" s="21" t="s">
        <v>30</v>
      </c>
      <c r="F254" s="22" t="s">
        <v>66</v>
      </c>
      <c r="G254" s="25">
        <v>197764.6618676724</v>
      </c>
      <c r="H254" s="25">
        <v>8709.1926128303858</v>
      </c>
      <c r="I254" s="29">
        <v>9224.9488383740372</v>
      </c>
      <c r="J254" s="30">
        <v>675.71000000000038</v>
      </c>
      <c r="K254" s="24">
        <f t="shared" si="15"/>
        <v>189055</v>
      </c>
      <c r="L254" s="25">
        <f t="shared" si="16"/>
        <v>20.49</v>
      </c>
      <c r="M254" s="26">
        <f t="shared" si="17"/>
        <v>4.403816400049191E-2</v>
      </c>
      <c r="N254" s="27">
        <f t="shared" si="18"/>
        <v>13.7</v>
      </c>
      <c r="O254" s="25">
        <f t="shared" si="19"/>
        <v>292.68</v>
      </c>
      <c r="P254" s="143"/>
    </row>
    <row r="255" spans="1:16" x14ac:dyDescent="0.25">
      <c r="A255" s="93" t="s">
        <v>67</v>
      </c>
      <c r="B255" s="21">
        <v>721</v>
      </c>
      <c r="D255" s="21" t="s">
        <v>20</v>
      </c>
      <c r="E255" s="21" t="s">
        <v>30</v>
      </c>
      <c r="F255" s="21" t="s">
        <v>66</v>
      </c>
      <c r="G255" s="25">
        <v>297071.22875832167</v>
      </c>
      <c r="H255" s="25">
        <v>11625.776663415021</v>
      </c>
      <c r="I255" s="28">
        <v>13338.467691438524</v>
      </c>
      <c r="J255" s="28">
        <v>957</v>
      </c>
      <c r="K255" s="24">
        <f t="shared" si="15"/>
        <v>285445</v>
      </c>
      <c r="L255" s="25">
        <f t="shared" si="16"/>
        <v>21.4</v>
      </c>
      <c r="M255" s="26">
        <f t="shared" si="17"/>
        <v>3.9134643607217232E-2</v>
      </c>
      <c r="N255" s="27">
        <f t="shared" si="18"/>
        <v>13.9</v>
      </c>
      <c r="O255" s="25">
        <f t="shared" si="19"/>
        <v>310.42</v>
      </c>
      <c r="P255" s="143"/>
    </row>
    <row r="256" spans="1:16" x14ac:dyDescent="0.25">
      <c r="A256" s="93" t="s">
        <v>9</v>
      </c>
      <c r="B256" s="21">
        <v>444</v>
      </c>
      <c r="D256" s="21" t="s">
        <v>20</v>
      </c>
      <c r="E256" s="21" t="s">
        <v>30</v>
      </c>
      <c r="F256" s="21" t="s">
        <v>66</v>
      </c>
      <c r="G256" s="24">
        <v>503626.38239999994</v>
      </c>
      <c r="H256" s="25">
        <v>46362.884385137884</v>
      </c>
      <c r="I256" s="28">
        <v>19730</v>
      </c>
      <c r="J256" s="28">
        <v>2724.84</v>
      </c>
      <c r="K256" s="24">
        <f t="shared" si="15"/>
        <v>457263</v>
      </c>
      <c r="L256" s="25">
        <f t="shared" si="16"/>
        <v>23.18</v>
      </c>
      <c r="M256" s="26">
        <f t="shared" si="17"/>
        <v>9.2058093073278779E-2</v>
      </c>
      <c r="N256" s="27">
        <f t="shared" si="18"/>
        <v>7.2</v>
      </c>
      <c r="O256" s="25">
        <f t="shared" si="19"/>
        <v>184.83</v>
      </c>
      <c r="P256" s="143"/>
    </row>
    <row r="257" spans="1:16" x14ac:dyDescent="0.25">
      <c r="A257" s="93" t="s">
        <v>68</v>
      </c>
      <c r="B257" s="212">
        <v>67</v>
      </c>
      <c r="D257" s="212" t="s">
        <v>18</v>
      </c>
      <c r="E257" s="21" t="s">
        <v>30</v>
      </c>
      <c r="F257" s="212" t="s">
        <v>66</v>
      </c>
      <c r="G257" s="24">
        <v>157791.42167964956</v>
      </c>
      <c r="H257" s="24">
        <v>5454.4914297661317</v>
      </c>
      <c r="I257" s="29">
        <v>6472</v>
      </c>
      <c r="J257" s="30">
        <v>1345.17</v>
      </c>
      <c r="K257" s="24">
        <f t="shared" si="15"/>
        <v>152337</v>
      </c>
      <c r="L257" s="25">
        <f t="shared" si="16"/>
        <v>23.54</v>
      </c>
      <c r="M257" s="26">
        <f t="shared" si="17"/>
        <v>3.4567731069943201E-2</v>
      </c>
      <c r="N257" s="27">
        <f t="shared" si="18"/>
        <v>4.8</v>
      </c>
      <c r="O257" s="25">
        <f t="shared" si="19"/>
        <v>117.3</v>
      </c>
      <c r="P257" s="143"/>
    </row>
    <row r="258" spans="1:16" x14ac:dyDescent="0.25">
      <c r="A258" s="93" t="s">
        <v>67</v>
      </c>
      <c r="B258" s="22">
        <v>9</v>
      </c>
      <c r="D258" s="22" t="s">
        <v>18</v>
      </c>
      <c r="E258" s="21" t="s">
        <v>30</v>
      </c>
      <c r="F258" s="22" t="s">
        <v>66</v>
      </c>
      <c r="G258" s="25">
        <v>673855.14604899671</v>
      </c>
      <c r="H258" s="25">
        <v>25245.095747327159</v>
      </c>
      <c r="I258" s="29">
        <v>27331.098421551262</v>
      </c>
      <c r="J258" s="30">
        <v>2179.4800000000018</v>
      </c>
      <c r="K258" s="24">
        <f t="shared" si="15"/>
        <v>648610</v>
      </c>
      <c r="L258" s="25">
        <f t="shared" si="16"/>
        <v>23.73</v>
      </c>
      <c r="M258" s="26">
        <f t="shared" si="17"/>
        <v>3.7463683249057744E-2</v>
      </c>
      <c r="N258" s="27">
        <f t="shared" si="18"/>
        <v>12.5</v>
      </c>
      <c r="O258" s="25">
        <f t="shared" si="19"/>
        <v>309.18</v>
      </c>
      <c r="P258" s="143"/>
    </row>
    <row r="259" spans="1:16" x14ac:dyDescent="0.25">
      <c r="A259" s="93" t="s">
        <v>68</v>
      </c>
      <c r="B259" s="22">
        <v>83</v>
      </c>
      <c r="C259" s="22"/>
      <c r="D259" s="21" t="s">
        <v>19</v>
      </c>
      <c r="E259" s="21" t="s">
        <v>30</v>
      </c>
      <c r="F259" s="22" t="s">
        <v>66</v>
      </c>
      <c r="G259" s="25">
        <v>125340.37204957695</v>
      </c>
      <c r="H259" s="31">
        <v>4883.5912000247645</v>
      </c>
      <c r="I259" s="29">
        <v>4952</v>
      </c>
      <c r="J259" s="30">
        <v>1090.3700000000001</v>
      </c>
      <c r="K259" s="24">
        <f t="shared" ref="K259:K280" si="20">ROUND(G259-H259,0)</f>
        <v>120457</v>
      </c>
      <c r="L259" s="25">
        <f t="shared" ref="L259:L280" si="21">ROUND(K259/I259,2)</f>
        <v>24.32</v>
      </c>
      <c r="M259" s="26">
        <f t="shared" ref="M259:M280" si="22">+H259/G259</f>
        <v>3.8962635264024235E-2</v>
      </c>
      <c r="N259" s="27">
        <f t="shared" ref="N259:N280" si="23">ROUND(I259/J259,1)</f>
        <v>4.5</v>
      </c>
      <c r="O259" s="25">
        <f t="shared" ref="O259:O280" si="24">ROUND(G259/J259,2)</f>
        <v>114.95</v>
      </c>
      <c r="P259" s="143"/>
    </row>
    <row r="260" spans="1:16" x14ac:dyDescent="0.25">
      <c r="A260" s="93" t="s">
        <v>68</v>
      </c>
      <c r="B260" s="22">
        <v>70</v>
      </c>
      <c r="D260" s="22" t="s">
        <v>18</v>
      </c>
      <c r="E260" s="21" t="s">
        <v>30</v>
      </c>
      <c r="F260" s="22" t="s">
        <v>66</v>
      </c>
      <c r="G260" s="24">
        <v>51177.683773530167</v>
      </c>
      <c r="H260" s="24">
        <v>1736.7905414213672</v>
      </c>
      <c r="I260" s="29">
        <v>2026</v>
      </c>
      <c r="J260" s="30">
        <v>443.67999999999995</v>
      </c>
      <c r="K260" s="24">
        <f t="shared" si="20"/>
        <v>49441</v>
      </c>
      <c r="L260" s="25">
        <f t="shared" si="21"/>
        <v>24.4</v>
      </c>
      <c r="M260" s="26">
        <f t="shared" si="22"/>
        <v>3.3936481946055953E-2</v>
      </c>
      <c r="N260" s="27">
        <f t="shared" si="23"/>
        <v>4.5999999999999996</v>
      </c>
      <c r="O260" s="25">
        <f t="shared" si="24"/>
        <v>115.35</v>
      </c>
      <c r="P260" s="143"/>
    </row>
    <row r="261" spans="1:16" x14ac:dyDescent="0.25">
      <c r="A261" s="93" t="s">
        <v>67</v>
      </c>
      <c r="B261" s="21">
        <v>612</v>
      </c>
      <c r="D261" s="21" t="s">
        <v>20</v>
      </c>
      <c r="E261" s="21" t="s">
        <v>30</v>
      </c>
      <c r="F261" s="22" t="s">
        <v>66</v>
      </c>
      <c r="G261" s="25">
        <v>435272.33045423572</v>
      </c>
      <c r="H261" s="25">
        <v>13313.719337731971</v>
      </c>
      <c r="I261" s="28">
        <v>16730.115548004225</v>
      </c>
      <c r="J261" s="32">
        <v>1315.3199999999997</v>
      </c>
      <c r="K261" s="24">
        <f t="shared" si="20"/>
        <v>421959</v>
      </c>
      <c r="L261" s="25">
        <f t="shared" si="21"/>
        <v>25.22</v>
      </c>
      <c r="M261" s="26">
        <f t="shared" si="22"/>
        <v>3.0587102386770638E-2</v>
      </c>
      <c r="N261" s="27">
        <f t="shared" si="23"/>
        <v>12.7</v>
      </c>
      <c r="O261" s="25">
        <f t="shared" si="24"/>
        <v>330.93</v>
      </c>
      <c r="P261" s="143"/>
    </row>
    <row r="262" spans="1:16" x14ac:dyDescent="0.25">
      <c r="A262" s="93" t="s">
        <v>68</v>
      </c>
      <c r="B262" s="21">
        <v>546</v>
      </c>
      <c r="D262" s="21" t="s">
        <v>20</v>
      </c>
      <c r="E262" s="21" t="s">
        <v>30</v>
      </c>
      <c r="F262" s="21" t="s">
        <v>66</v>
      </c>
      <c r="G262" s="24">
        <v>63775.888273192169</v>
      </c>
      <c r="H262" s="24">
        <v>3130.4980841988681</v>
      </c>
      <c r="I262" s="28">
        <v>2380</v>
      </c>
      <c r="J262" s="28">
        <v>585.28</v>
      </c>
      <c r="K262" s="24">
        <f t="shared" si="20"/>
        <v>60645</v>
      </c>
      <c r="L262" s="25">
        <f t="shared" si="21"/>
        <v>25.48</v>
      </c>
      <c r="M262" s="26">
        <f t="shared" si="22"/>
        <v>4.9085918972840953E-2</v>
      </c>
      <c r="N262" s="27">
        <f t="shared" si="23"/>
        <v>4.0999999999999996</v>
      </c>
      <c r="O262" s="25">
        <f t="shared" si="24"/>
        <v>108.97</v>
      </c>
      <c r="P262" s="143"/>
    </row>
    <row r="263" spans="1:16" x14ac:dyDescent="0.25">
      <c r="A263" s="93" t="s">
        <v>9</v>
      </c>
      <c r="B263" s="21">
        <v>495</v>
      </c>
      <c r="D263" s="21" t="s">
        <v>99</v>
      </c>
      <c r="E263" s="21" t="s">
        <v>30</v>
      </c>
      <c r="F263" s="22" t="s">
        <v>66</v>
      </c>
      <c r="G263" s="191">
        <v>337691.66219999996</v>
      </c>
      <c r="H263" s="207">
        <v>27599.192960134034</v>
      </c>
      <c r="I263" s="208">
        <v>11745</v>
      </c>
      <c r="J263" s="209">
        <v>1683.94</v>
      </c>
      <c r="K263" s="24">
        <f t="shared" si="20"/>
        <v>310092</v>
      </c>
      <c r="L263" s="25">
        <f t="shared" si="21"/>
        <v>26.4</v>
      </c>
      <c r="M263" s="26">
        <f t="shared" si="22"/>
        <v>8.1728973645159894E-2</v>
      </c>
      <c r="N263" s="27">
        <f t="shared" si="23"/>
        <v>7</v>
      </c>
      <c r="O263" s="25">
        <f t="shared" si="24"/>
        <v>200.54</v>
      </c>
      <c r="P263" s="143"/>
    </row>
    <row r="264" spans="1:16" x14ac:dyDescent="0.25">
      <c r="A264" s="93" t="s">
        <v>67</v>
      </c>
      <c r="B264" s="21">
        <v>645</v>
      </c>
      <c r="D264" s="21" t="s">
        <v>20</v>
      </c>
      <c r="E264" s="21" t="s">
        <v>30</v>
      </c>
      <c r="F264" s="22" t="s">
        <v>66</v>
      </c>
      <c r="G264" s="25">
        <v>226038.74063644625</v>
      </c>
      <c r="H264" s="25">
        <v>7300.204810004826</v>
      </c>
      <c r="I264" s="28">
        <v>8182.2462878757979</v>
      </c>
      <c r="J264" s="32">
        <v>846.14999999999952</v>
      </c>
      <c r="K264" s="24">
        <f t="shared" si="20"/>
        <v>218739</v>
      </c>
      <c r="L264" s="25">
        <f t="shared" si="21"/>
        <v>26.73</v>
      </c>
      <c r="M264" s="26">
        <f t="shared" si="22"/>
        <v>3.2296255011198503E-2</v>
      </c>
      <c r="N264" s="27">
        <f t="shared" si="23"/>
        <v>9.6999999999999993</v>
      </c>
      <c r="O264" s="25">
        <f t="shared" si="24"/>
        <v>267.14</v>
      </c>
      <c r="P264" s="143"/>
    </row>
    <row r="265" spans="1:16" x14ac:dyDescent="0.25">
      <c r="A265" s="93" t="s">
        <v>67</v>
      </c>
      <c r="B265" s="22">
        <v>5</v>
      </c>
      <c r="C265" s="22"/>
      <c r="D265" s="21" t="s">
        <v>19</v>
      </c>
      <c r="E265" s="21" t="s">
        <v>30</v>
      </c>
      <c r="F265" s="22" t="s">
        <v>66</v>
      </c>
      <c r="G265" s="25">
        <v>744569.45720326295</v>
      </c>
      <c r="H265" s="25">
        <v>21508.20809368886</v>
      </c>
      <c r="I265" s="29">
        <v>25469.650411820643</v>
      </c>
      <c r="J265" s="30">
        <v>2436.4900000000002</v>
      </c>
      <c r="K265" s="24">
        <f t="shared" si="20"/>
        <v>723061</v>
      </c>
      <c r="L265" s="25">
        <f t="shared" si="21"/>
        <v>28.39</v>
      </c>
      <c r="M265" s="26">
        <f t="shared" si="22"/>
        <v>2.8886771926527263E-2</v>
      </c>
      <c r="N265" s="27">
        <f t="shared" si="23"/>
        <v>10.5</v>
      </c>
      <c r="O265" s="25">
        <f t="shared" si="24"/>
        <v>305.58999999999997</v>
      </c>
      <c r="P265" s="210"/>
    </row>
    <row r="266" spans="1:16" x14ac:dyDescent="0.25">
      <c r="A266" s="93" t="s">
        <v>67</v>
      </c>
      <c r="B266" s="22">
        <v>7</v>
      </c>
      <c r="D266" s="22" t="s">
        <v>18</v>
      </c>
      <c r="E266" s="21" t="s">
        <v>30</v>
      </c>
      <c r="F266" s="22" t="s">
        <v>66</v>
      </c>
      <c r="G266" s="25">
        <v>497921.99925300642</v>
      </c>
      <c r="H266" s="25">
        <v>16607.984083044106</v>
      </c>
      <c r="I266" s="29">
        <v>16714.490634660095</v>
      </c>
      <c r="J266" s="30">
        <v>1643.1200000000001</v>
      </c>
      <c r="K266" s="24">
        <f t="shared" si="20"/>
        <v>481314</v>
      </c>
      <c r="L266" s="25">
        <f t="shared" si="21"/>
        <v>28.8</v>
      </c>
      <c r="M266" s="26">
        <f t="shared" si="22"/>
        <v>3.3354589891508649E-2</v>
      </c>
      <c r="N266" s="27">
        <f t="shared" si="23"/>
        <v>10.199999999999999</v>
      </c>
      <c r="O266" s="25">
        <f t="shared" si="24"/>
        <v>303.02999999999997</v>
      </c>
      <c r="P266" s="143"/>
    </row>
    <row r="267" spans="1:16" x14ac:dyDescent="0.25">
      <c r="A267" s="93" t="s">
        <v>68</v>
      </c>
      <c r="B267" s="22">
        <v>30</v>
      </c>
      <c r="C267" s="22"/>
      <c r="D267" s="21" t="s">
        <v>19</v>
      </c>
      <c r="E267" s="21" t="s">
        <v>30</v>
      </c>
      <c r="F267" s="22" t="s">
        <v>66</v>
      </c>
      <c r="G267" s="25">
        <v>209631.80661413405</v>
      </c>
      <c r="H267" s="31">
        <v>6534.9172322330169</v>
      </c>
      <c r="I267" s="29">
        <v>6868</v>
      </c>
      <c r="J267" s="30">
        <v>1536.6999999999998</v>
      </c>
      <c r="K267" s="24">
        <f t="shared" si="20"/>
        <v>203097</v>
      </c>
      <c r="L267" s="25">
        <f t="shared" si="21"/>
        <v>29.57</v>
      </c>
      <c r="M267" s="26">
        <f t="shared" si="22"/>
        <v>3.1173309708014563E-2</v>
      </c>
      <c r="N267" s="27">
        <f t="shared" si="23"/>
        <v>4.5</v>
      </c>
      <c r="O267" s="25">
        <f t="shared" si="24"/>
        <v>136.41999999999999</v>
      </c>
      <c r="P267" s="143"/>
    </row>
    <row r="268" spans="1:16" x14ac:dyDescent="0.25">
      <c r="A268" s="93" t="s">
        <v>67</v>
      </c>
      <c r="B268" s="22">
        <v>23</v>
      </c>
      <c r="C268" s="22"/>
      <c r="D268" s="21" t="s">
        <v>19</v>
      </c>
      <c r="E268" s="21" t="s">
        <v>30</v>
      </c>
      <c r="F268" s="22" t="s">
        <v>66</v>
      </c>
      <c r="G268" s="25">
        <v>437297.84918921551</v>
      </c>
      <c r="H268" s="25">
        <v>12699.179899125113</v>
      </c>
      <c r="I268" s="29">
        <v>13370.75917901639</v>
      </c>
      <c r="J268" s="30">
        <v>1222.6400000000001</v>
      </c>
      <c r="K268" s="24">
        <f t="shared" si="20"/>
        <v>424599</v>
      </c>
      <c r="L268" s="25">
        <f t="shared" si="21"/>
        <v>31.76</v>
      </c>
      <c r="M268" s="26">
        <f t="shared" si="22"/>
        <v>2.9040115158742233E-2</v>
      </c>
      <c r="N268" s="27">
        <f t="shared" si="23"/>
        <v>10.9</v>
      </c>
      <c r="O268" s="25">
        <f t="shared" si="24"/>
        <v>357.67</v>
      </c>
      <c r="P268" s="210"/>
    </row>
    <row r="269" spans="1:16" x14ac:dyDescent="0.25">
      <c r="A269" s="93" t="s">
        <v>69</v>
      </c>
      <c r="C269" s="21" t="s">
        <v>95</v>
      </c>
      <c r="D269" s="21" t="s">
        <v>94</v>
      </c>
      <c r="E269" s="21" t="s">
        <v>31</v>
      </c>
      <c r="F269" s="207" t="s">
        <v>66</v>
      </c>
      <c r="G269" s="207">
        <v>54422.449082690779</v>
      </c>
      <c r="H269" s="215">
        <v>2549.3691394132766</v>
      </c>
      <c r="I269" s="216">
        <v>1604</v>
      </c>
      <c r="J269" s="24">
        <v>556.38172471860321</v>
      </c>
      <c r="K269" s="24">
        <f t="shared" si="20"/>
        <v>51873</v>
      </c>
      <c r="L269" s="25">
        <f t="shared" si="21"/>
        <v>32.340000000000003</v>
      </c>
      <c r="M269" s="26">
        <f t="shared" si="22"/>
        <v>4.6844072297071819E-2</v>
      </c>
      <c r="N269" s="27">
        <f t="shared" si="23"/>
        <v>2.9</v>
      </c>
      <c r="O269" s="25">
        <f t="shared" si="24"/>
        <v>97.81</v>
      </c>
      <c r="P269" s="143"/>
    </row>
    <row r="270" spans="1:16" x14ac:dyDescent="0.25">
      <c r="A270" s="93" t="s">
        <v>68</v>
      </c>
      <c r="B270" s="21">
        <v>323</v>
      </c>
      <c r="D270" s="21" t="s">
        <v>20</v>
      </c>
      <c r="E270" s="21" t="s">
        <v>30</v>
      </c>
      <c r="F270" s="21" t="s">
        <v>66</v>
      </c>
      <c r="G270" s="24">
        <v>124586.73369041352</v>
      </c>
      <c r="H270" s="24">
        <v>3027.4609238195799</v>
      </c>
      <c r="I270" s="34">
        <v>3569</v>
      </c>
      <c r="J270" s="34">
        <v>928.27</v>
      </c>
      <c r="K270" s="24">
        <f t="shared" si="20"/>
        <v>121559</v>
      </c>
      <c r="L270" s="25">
        <f t="shared" si="21"/>
        <v>34.06</v>
      </c>
      <c r="M270" s="26">
        <f t="shared" si="22"/>
        <v>2.4300026448582718E-2</v>
      </c>
      <c r="N270" s="27">
        <f t="shared" si="23"/>
        <v>3.8</v>
      </c>
      <c r="O270" s="25">
        <f t="shared" si="24"/>
        <v>134.21</v>
      </c>
      <c r="P270" s="143"/>
    </row>
    <row r="271" spans="1:16" x14ac:dyDescent="0.25">
      <c r="A271" s="93" t="s">
        <v>9</v>
      </c>
      <c r="C271" s="21" t="s">
        <v>36</v>
      </c>
      <c r="D271" s="21" t="s">
        <v>94</v>
      </c>
      <c r="E271" s="21" t="s">
        <v>31</v>
      </c>
      <c r="F271" s="207" t="s">
        <v>66</v>
      </c>
      <c r="G271" s="207">
        <v>432331.05000000005</v>
      </c>
      <c r="H271" s="215">
        <v>24176.89</v>
      </c>
      <c r="I271" s="216">
        <v>11435</v>
      </c>
      <c r="J271" s="24">
        <v>4613.0200000000004</v>
      </c>
      <c r="K271" s="24">
        <f t="shared" si="20"/>
        <v>408154</v>
      </c>
      <c r="L271" s="25">
        <f t="shared" si="21"/>
        <v>35.69</v>
      </c>
      <c r="M271" s="26">
        <f t="shared" si="22"/>
        <v>5.5922168902742465E-2</v>
      </c>
      <c r="N271" s="27">
        <f t="shared" si="23"/>
        <v>2.5</v>
      </c>
      <c r="O271" s="25">
        <f t="shared" si="24"/>
        <v>93.72</v>
      </c>
      <c r="P271" s="143"/>
    </row>
    <row r="272" spans="1:16" x14ac:dyDescent="0.25">
      <c r="A272" s="93" t="s">
        <v>9</v>
      </c>
      <c r="B272" s="21">
        <v>445</v>
      </c>
      <c r="D272" s="21" t="s">
        <v>20</v>
      </c>
      <c r="E272" s="21" t="s">
        <v>30</v>
      </c>
      <c r="F272" s="22" t="s">
        <v>66</v>
      </c>
      <c r="G272" s="24">
        <v>168580.04010000001</v>
      </c>
      <c r="H272" s="25">
        <v>9211.4803238591248</v>
      </c>
      <c r="I272" s="28">
        <v>3920</v>
      </c>
      <c r="J272" s="32">
        <v>808.95</v>
      </c>
      <c r="K272" s="24">
        <f t="shared" si="20"/>
        <v>159369</v>
      </c>
      <c r="L272" s="25">
        <f t="shared" si="21"/>
        <v>40.659999999999997</v>
      </c>
      <c r="M272" s="26">
        <f t="shared" si="22"/>
        <v>5.4641583418742611E-2</v>
      </c>
      <c r="N272" s="27">
        <f t="shared" si="23"/>
        <v>4.8</v>
      </c>
      <c r="O272" s="25">
        <f t="shared" si="24"/>
        <v>208.39</v>
      </c>
      <c r="P272" s="143"/>
    </row>
    <row r="273" spans="1:16" x14ac:dyDescent="0.25">
      <c r="A273" s="93" t="s">
        <v>9</v>
      </c>
      <c r="B273" s="21">
        <v>446</v>
      </c>
      <c r="D273" s="21" t="s">
        <v>20</v>
      </c>
      <c r="E273" s="21" t="s">
        <v>30</v>
      </c>
      <c r="F273" s="22" t="s">
        <v>66</v>
      </c>
      <c r="G273" s="24">
        <v>149883.74159999998</v>
      </c>
      <c r="H273" s="25">
        <v>6657.1744279318618</v>
      </c>
      <c r="I273" s="28">
        <v>2833</v>
      </c>
      <c r="J273" s="32">
        <v>691.3599999999999</v>
      </c>
      <c r="K273" s="24">
        <f t="shared" si="20"/>
        <v>143227</v>
      </c>
      <c r="L273" s="25">
        <f t="shared" si="21"/>
        <v>50.56</v>
      </c>
      <c r="M273" s="26">
        <f t="shared" si="22"/>
        <v>4.4415587420402795E-2</v>
      </c>
      <c r="N273" s="27">
        <f t="shared" si="23"/>
        <v>4.0999999999999996</v>
      </c>
      <c r="O273" s="25">
        <f t="shared" si="24"/>
        <v>216.8</v>
      </c>
      <c r="P273" s="143"/>
    </row>
    <row r="274" spans="1:16" x14ac:dyDescent="0.25">
      <c r="A274" s="93" t="s">
        <v>9</v>
      </c>
      <c r="B274" s="21">
        <v>442</v>
      </c>
      <c r="D274" s="21" t="s">
        <v>20</v>
      </c>
      <c r="E274" s="21" t="s">
        <v>30</v>
      </c>
      <c r="F274" s="21" t="s">
        <v>66</v>
      </c>
      <c r="G274" s="24">
        <v>245947.60349999997</v>
      </c>
      <c r="H274" s="25">
        <v>10854.037657118697</v>
      </c>
      <c r="I274" s="28">
        <v>4619</v>
      </c>
      <c r="J274" s="28">
        <v>1330.6599999999999</v>
      </c>
      <c r="K274" s="24">
        <f t="shared" si="20"/>
        <v>235094</v>
      </c>
      <c r="L274" s="25">
        <f t="shared" si="21"/>
        <v>50.9</v>
      </c>
      <c r="M274" s="26">
        <f t="shared" si="22"/>
        <v>4.4131504038496146E-2</v>
      </c>
      <c r="N274" s="27">
        <f t="shared" si="23"/>
        <v>3.5</v>
      </c>
      <c r="O274" s="25">
        <f t="shared" si="24"/>
        <v>184.83</v>
      </c>
      <c r="P274" s="143"/>
    </row>
    <row r="275" spans="1:16" x14ac:dyDescent="0.25">
      <c r="A275" s="93" t="s">
        <v>9</v>
      </c>
      <c r="B275" s="21">
        <v>410</v>
      </c>
      <c r="D275" s="21" t="s">
        <v>20</v>
      </c>
      <c r="E275" s="21" t="s">
        <v>30</v>
      </c>
      <c r="F275" s="22" t="s">
        <v>66</v>
      </c>
      <c r="G275" s="24">
        <v>134462.26799999998</v>
      </c>
      <c r="H275" s="25">
        <v>4937.0714694969438</v>
      </c>
      <c r="I275" s="28">
        <v>2101</v>
      </c>
      <c r="J275" s="32">
        <v>795.72</v>
      </c>
      <c r="K275" s="24">
        <f t="shared" si="20"/>
        <v>129525</v>
      </c>
      <c r="L275" s="25">
        <f t="shared" si="21"/>
        <v>61.65</v>
      </c>
      <c r="M275" s="26">
        <f t="shared" si="22"/>
        <v>3.6717151532033837E-2</v>
      </c>
      <c r="N275" s="27">
        <f t="shared" si="23"/>
        <v>2.6</v>
      </c>
      <c r="O275" s="25">
        <f t="shared" si="24"/>
        <v>168.98</v>
      </c>
      <c r="P275" s="143" t="s">
        <v>98</v>
      </c>
    </row>
    <row r="276" spans="1:16" x14ac:dyDescent="0.25">
      <c r="A276" s="93" t="s">
        <v>9</v>
      </c>
      <c r="B276" s="21">
        <v>497</v>
      </c>
      <c r="D276" s="21" t="s">
        <v>20</v>
      </c>
      <c r="E276" s="21" t="s">
        <v>30</v>
      </c>
      <c r="F276" s="22" t="s">
        <v>66</v>
      </c>
      <c r="G276" s="24">
        <v>75665.102099999989</v>
      </c>
      <c r="H276" s="25">
        <v>2507.3085473361443</v>
      </c>
      <c r="I276" s="28">
        <v>1067</v>
      </c>
      <c r="J276" s="32">
        <v>394.15999999999997</v>
      </c>
      <c r="K276" s="24">
        <f t="shared" si="20"/>
        <v>73158</v>
      </c>
      <c r="L276" s="25">
        <f t="shared" si="21"/>
        <v>68.56</v>
      </c>
      <c r="M276" s="26">
        <f t="shared" si="22"/>
        <v>3.3136921483598245E-2</v>
      </c>
      <c r="N276" s="27">
        <f t="shared" si="23"/>
        <v>2.7</v>
      </c>
      <c r="O276" s="25">
        <f t="shared" si="24"/>
        <v>191.97</v>
      </c>
      <c r="P276" s="143"/>
    </row>
    <row r="277" spans="1:16" x14ac:dyDescent="0.25">
      <c r="A277" s="93" t="s">
        <v>9</v>
      </c>
      <c r="B277" s="21">
        <v>499</v>
      </c>
      <c r="D277" s="21" t="s">
        <v>20</v>
      </c>
      <c r="E277" s="21" t="s">
        <v>30</v>
      </c>
      <c r="F277" s="22" t="s">
        <v>66</v>
      </c>
      <c r="G277" s="191">
        <v>80600.421299999973</v>
      </c>
      <c r="H277" s="207">
        <v>2143.0790957549798</v>
      </c>
      <c r="I277" s="208">
        <v>912</v>
      </c>
      <c r="J277" s="209">
        <v>390.14999999999992</v>
      </c>
      <c r="K277" s="24">
        <f t="shared" si="20"/>
        <v>78457</v>
      </c>
      <c r="L277" s="25">
        <f t="shared" si="21"/>
        <v>86.03</v>
      </c>
      <c r="M277" s="26">
        <f t="shared" si="22"/>
        <v>2.658893168533575E-2</v>
      </c>
      <c r="N277" s="27">
        <f t="shared" si="23"/>
        <v>2.2999999999999998</v>
      </c>
      <c r="O277" s="25">
        <f t="shared" si="24"/>
        <v>206.59</v>
      </c>
      <c r="P277" s="143"/>
    </row>
    <row r="278" spans="1:16" x14ac:dyDescent="0.25">
      <c r="A278" s="93" t="s">
        <v>9</v>
      </c>
      <c r="B278" s="21">
        <v>447</v>
      </c>
      <c r="D278" s="21" t="s">
        <v>20</v>
      </c>
      <c r="E278" s="21" t="s">
        <v>30</v>
      </c>
      <c r="F278" s="22" t="s">
        <v>66</v>
      </c>
      <c r="G278" s="24">
        <v>223893.94499999998</v>
      </c>
      <c r="H278" s="25">
        <v>5752.4754675528411</v>
      </c>
      <c r="I278" s="28">
        <v>2448</v>
      </c>
      <c r="J278" s="32">
        <v>1215.7999999999997</v>
      </c>
      <c r="K278" s="24">
        <f t="shared" si="20"/>
        <v>218141</v>
      </c>
      <c r="L278" s="25">
        <f t="shared" si="21"/>
        <v>89.11</v>
      </c>
      <c r="M278" s="26">
        <f t="shared" si="22"/>
        <v>2.5692858587814161E-2</v>
      </c>
      <c r="N278" s="27">
        <f t="shared" si="23"/>
        <v>2</v>
      </c>
      <c r="O278" s="25">
        <f t="shared" si="24"/>
        <v>184.15</v>
      </c>
      <c r="P278" s="143"/>
    </row>
    <row r="279" spans="1:16" x14ac:dyDescent="0.25">
      <c r="A279" s="93" t="s">
        <v>9</v>
      </c>
      <c r="B279" s="21">
        <v>440</v>
      </c>
      <c r="D279" s="21" t="s">
        <v>20</v>
      </c>
      <c r="E279" s="21" t="s">
        <v>30</v>
      </c>
      <c r="F279" s="21" t="s">
        <v>66</v>
      </c>
      <c r="G279" s="24">
        <v>115710.0135</v>
      </c>
      <c r="H279" s="25">
        <v>2575.4547027932654</v>
      </c>
      <c r="I279" s="28">
        <v>1096</v>
      </c>
      <c r="J279" s="28">
        <v>560.42999999999995</v>
      </c>
      <c r="K279" s="24">
        <f t="shared" si="20"/>
        <v>113135</v>
      </c>
      <c r="L279" s="25">
        <f t="shared" si="21"/>
        <v>103.23</v>
      </c>
      <c r="M279" s="26">
        <f t="shared" si="22"/>
        <v>2.2257837717677437E-2</v>
      </c>
      <c r="N279" s="27">
        <f t="shared" si="23"/>
        <v>2</v>
      </c>
      <c r="O279" s="25">
        <f t="shared" si="24"/>
        <v>206.47</v>
      </c>
      <c r="P279" s="143"/>
    </row>
    <row r="280" spans="1:16" ht="15.75" thickBot="1" x14ac:dyDescent="0.3">
      <c r="A280" s="93" t="s">
        <v>9</v>
      </c>
      <c r="B280" s="21">
        <v>420</v>
      </c>
      <c r="D280" s="147" t="s">
        <v>20</v>
      </c>
      <c r="E280" s="21" t="s">
        <v>30</v>
      </c>
      <c r="F280" s="21" t="s">
        <v>66</v>
      </c>
      <c r="G280" s="24">
        <v>79492.492499999993</v>
      </c>
      <c r="H280" s="25">
        <v>1475.7167457611047</v>
      </c>
      <c r="I280" s="28">
        <v>628</v>
      </c>
      <c r="J280" s="28">
        <v>432.94</v>
      </c>
      <c r="K280" s="24">
        <f t="shared" si="20"/>
        <v>78017</v>
      </c>
      <c r="L280" s="25">
        <f t="shared" si="21"/>
        <v>124.23</v>
      </c>
      <c r="M280" s="26">
        <f t="shared" si="22"/>
        <v>1.8564227883043228E-2</v>
      </c>
      <c r="N280" s="27">
        <f t="shared" si="23"/>
        <v>1.5</v>
      </c>
      <c r="O280" s="25">
        <f t="shared" si="24"/>
        <v>183.61</v>
      </c>
      <c r="P280" s="143"/>
    </row>
    <row r="281" spans="1:16" ht="15" customHeight="1" x14ac:dyDescent="0.25">
      <c r="A281" s="21" t="s">
        <v>68</v>
      </c>
      <c r="C281" s="21" t="s">
        <v>16</v>
      </c>
      <c r="D281" s="21" t="s">
        <v>17</v>
      </c>
      <c r="E281" s="21" t="s">
        <v>31</v>
      </c>
      <c r="F281" s="21" t="s">
        <v>33</v>
      </c>
      <c r="G281" s="223">
        <v>83789537.995191991</v>
      </c>
      <c r="H281" s="223">
        <v>5936106.092886514</v>
      </c>
      <c r="I281" s="35">
        <v>1731632</v>
      </c>
      <c r="J281" s="36">
        <v>1088099</v>
      </c>
      <c r="K281" s="24">
        <f t="shared" ref="K281:K284" si="25">ROUND(G281-H281,0)</f>
        <v>77853432</v>
      </c>
      <c r="L281" s="25">
        <f t="shared" ref="L281:L284" si="26">ROUND(K281/I281,2)</f>
        <v>44.96</v>
      </c>
      <c r="M281" s="26">
        <f t="shared" ref="M281:M284" si="27">+H281/G281</f>
        <v>7.0845432913440087E-2</v>
      </c>
      <c r="N281" s="27">
        <f t="shared" ref="N281:N284" si="28">ROUND(I281/J281,1)</f>
        <v>1.6</v>
      </c>
      <c r="O281" s="25">
        <f t="shared" ref="O281:O284" si="29">ROUND(G281/J281,2)</f>
        <v>77.010000000000005</v>
      </c>
    </row>
    <row r="282" spans="1:16" ht="15" customHeight="1" x14ac:dyDescent="0.25">
      <c r="A282" s="21" t="s">
        <v>68</v>
      </c>
      <c r="C282" s="21" t="s">
        <v>16</v>
      </c>
      <c r="D282" s="21" t="s">
        <v>17</v>
      </c>
      <c r="E282" s="21" t="s">
        <v>31</v>
      </c>
      <c r="F282" s="21" t="s">
        <v>65</v>
      </c>
      <c r="G282" s="223">
        <v>8137765.0848992933</v>
      </c>
      <c r="H282" s="223">
        <v>463544.62361614965</v>
      </c>
      <c r="I282" s="35">
        <v>147722</v>
      </c>
      <c r="J282" s="36">
        <v>104834</v>
      </c>
      <c r="K282" s="24">
        <f t="shared" si="25"/>
        <v>7674220</v>
      </c>
      <c r="L282" s="25">
        <f t="shared" si="26"/>
        <v>51.95</v>
      </c>
      <c r="M282" s="26">
        <f t="shared" si="27"/>
        <v>5.6962153463525067E-2</v>
      </c>
      <c r="N282" s="27">
        <f t="shared" si="28"/>
        <v>1.4</v>
      </c>
      <c r="O282" s="25">
        <f t="shared" si="29"/>
        <v>77.63</v>
      </c>
    </row>
    <row r="283" spans="1:16" ht="15" customHeight="1" x14ac:dyDescent="0.25">
      <c r="A283" s="21" t="s">
        <v>68</v>
      </c>
      <c r="C283" s="21" t="s">
        <v>16</v>
      </c>
      <c r="D283" s="21" t="s">
        <v>17</v>
      </c>
      <c r="E283" s="21" t="s">
        <v>31</v>
      </c>
      <c r="F283" s="21" t="s">
        <v>66</v>
      </c>
      <c r="G283" s="223">
        <v>7941521.218797395</v>
      </c>
      <c r="H283" s="223">
        <v>459443.28349733556</v>
      </c>
      <c r="I283" s="35">
        <v>145575</v>
      </c>
      <c r="J283" s="36">
        <v>102294</v>
      </c>
      <c r="K283" s="24">
        <f t="shared" si="25"/>
        <v>7482078</v>
      </c>
      <c r="L283" s="25">
        <f t="shared" si="26"/>
        <v>51.4</v>
      </c>
      <c r="M283" s="26">
        <f t="shared" si="27"/>
        <v>5.7853309314321803E-2</v>
      </c>
      <c r="N283" s="27">
        <f t="shared" si="28"/>
        <v>1.4</v>
      </c>
      <c r="O283" s="25">
        <f t="shared" si="29"/>
        <v>77.63</v>
      </c>
    </row>
    <row r="284" spans="1:16" ht="15" customHeight="1" x14ac:dyDescent="0.25">
      <c r="A284" s="21" t="s">
        <v>68</v>
      </c>
      <c r="C284" s="21" t="s">
        <v>92</v>
      </c>
      <c r="D284" s="21" t="s">
        <v>104</v>
      </c>
      <c r="E284" s="21" t="s">
        <v>31</v>
      </c>
      <c r="F284" s="21" t="s">
        <v>33</v>
      </c>
      <c r="G284" s="223">
        <v>8708762</v>
      </c>
      <c r="H284" s="223">
        <v>532995</v>
      </c>
      <c r="I284" s="35">
        <v>122781</v>
      </c>
      <c r="J284" s="36">
        <v>88450</v>
      </c>
      <c r="K284" s="24">
        <f t="shared" si="25"/>
        <v>8175767</v>
      </c>
      <c r="L284" s="25">
        <f t="shared" si="26"/>
        <v>66.59</v>
      </c>
      <c r="M284" s="26">
        <f t="shared" si="27"/>
        <v>6.1202154795365865E-2</v>
      </c>
      <c r="N284" s="27">
        <f t="shared" si="28"/>
        <v>1.4</v>
      </c>
      <c r="O284" s="25">
        <f t="shared" si="29"/>
        <v>98.46</v>
      </c>
    </row>
    <row r="285" spans="1:16" ht="15" customHeight="1" x14ac:dyDescent="0.25">
      <c r="A285" s="21" t="s">
        <v>68</v>
      </c>
      <c r="C285" s="21" t="s">
        <v>15</v>
      </c>
      <c r="D285" s="21" t="s">
        <v>60</v>
      </c>
      <c r="E285" s="21" t="s">
        <v>111</v>
      </c>
      <c r="F285" s="21" t="s">
        <v>13</v>
      </c>
      <c r="G285" s="23">
        <v>775479</v>
      </c>
      <c r="H285" s="23">
        <v>495440</v>
      </c>
      <c r="I285" s="35">
        <v>94739</v>
      </c>
      <c r="J285" s="36">
        <v>21744</v>
      </c>
      <c r="K285" s="24">
        <f t="shared" ref="K285" si="30">ROUND(G285-H285,0)</f>
        <v>280039</v>
      </c>
      <c r="L285" s="25">
        <f t="shared" ref="L285" si="31">ROUND(K285/I285,2)</f>
        <v>2.96</v>
      </c>
      <c r="M285" s="26">
        <f t="shared" ref="M285" si="32">+H285/G285</f>
        <v>0.63888254872149985</v>
      </c>
      <c r="N285" s="27">
        <f t="shared" ref="N285" si="33">ROUND(I285/J285,1)</f>
        <v>4.4000000000000004</v>
      </c>
      <c r="O285" s="25">
        <f t="shared" ref="O285" si="34">ROUND(G285/J285,2)</f>
        <v>35.659999999999997</v>
      </c>
    </row>
    <row r="286" spans="1:16" ht="15" customHeight="1" x14ac:dyDescent="0.25">
      <c r="G286" s="23"/>
      <c r="H286" s="23"/>
      <c r="I286" s="35"/>
      <c r="J286" s="36"/>
      <c r="K286" s="24"/>
      <c r="L286" s="25"/>
      <c r="M286" s="26"/>
      <c r="N286" s="27"/>
    </row>
    <row r="287" spans="1:16" ht="15" customHeight="1" x14ac:dyDescent="0.25">
      <c r="G287" s="23"/>
      <c r="H287" s="23"/>
      <c r="I287" s="35"/>
      <c r="J287" s="36"/>
      <c r="K287" s="24"/>
      <c r="L287" s="25"/>
      <c r="M287" s="26"/>
      <c r="N287" s="27"/>
      <c r="P287" s="19"/>
    </row>
    <row r="288" spans="1:16" ht="15" customHeight="1" x14ac:dyDescent="0.25">
      <c r="G288" s="23"/>
      <c r="H288" s="23"/>
      <c r="I288" s="35"/>
      <c r="J288" s="36"/>
      <c r="K288" s="24"/>
      <c r="L288" s="25"/>
      <c r="M288" s="26"/>
      <c r="N288" s="27"/>
      <c r="P288" s="19"/>
    </row>
    <row r="289" spans="2:14" ht="15" customHeight="1" x14ac:dyDescent="0.25">
      <c r="G289" s="23"/>
      <c r="H289" s="23"/>
      <c r="I289" s="35"/>
      <c r="J289" s="36"/>
      <c r="K289" s="24"/>
      <c r="L289" s="25"/>
      <c r="M289" s="26"/>
      <c r="N289" s="27"/>
    </row>
    <row r="290" spans="2:14" ht="15" customHeight="1" x14ac:dyDescent="0.25">
      <c r="G290" s="23"/>
      <c r="H290" s="23"/>
      <c r="I290" s="35"/>
      <c r="J290" s="36"/>
      <c r="K290" s="24"/>
      <c r="L290" s="25"/>
      <c r="M290" s="26"/>
      <c r="N290" s="27"/>
    </row>
    <row r="291" spans="2:14" ht="15" customHeight="1" x14ac:dyDescent="0.25">
      <c r="G291" s="23"/>
      <c r="H291" s="23"/>
      <c r="I291" s="35"/>
      <c r="J291" s="36"/>
      <c r="K291" s="24"/>
      <c r="L291" s="25"/>
      <c r="M291" s="26"/>
      <c r="N291" s="27"/>
    </row>
    <row r="292" spans="2:14" ht="15" customHeight="1" x14ac:dyDescent="0.25">
      <c r="B292" s="37"/>
      <c r="C292" s="37"/>
      <c r="F292" s="37"/>
      <c r="G292" s="38"/>
      <c r="H292" s="38"/>
      <c r="I292" s="39"/>
      <c r="J292" s="39"/>
      <c r="K292" s="24"/>
      <c r="L292" s="25"/>
      <c r="M292" s="26"/>
      <c r="N292" s="27"/>
    </row>
    <row r="293" spans="2:14" ht="15" customHeight="1" x14ac:dyDescent="0.25">
      <c r="B293" s="37"/>
      <c r="C293" s="37"/>
      <c r="F293" s="37"/>
      <c r="G293" s="38"/>
      <c r="H293" s="38"/>
      <c r="I293" s="39"/>
      <c r="J293" s="39"/>
      <c r="K293" s="24"/>
      <c r="L293" s="25"/>
      <c r="M293" s="26"/>
      <c r="N293" s="27"/>
    </row>
    <row r="294" spans="2:14" ht="15" customHeight="1" x14ac:dyDescent="0.25">
      <c r="B294" s="37"/>
      <c r="C294" s="37"/>
      <c r="F294" s="37"/>
      <c r="G294" s="38"/>
      <c r="H294" s="38"/>
      <c r="I294" s="39"/>
      <c r="J294" s="39"/>
      <c r="K294" s="24"/>
      <c r="L294" s="25"/>
      <c r="M294" s="26"/>
      <c r="N294" s="27"/>
    </row>
    <row r="295" spans="2:14" ht="15" customHeight="1" x14ac:dyDescent="0.25">
      <c r="B295" s="37"/>
      <c r="C295" s="37"/>
      <c r="F295" s="37"/>
      <c r="G295" s="38"/>
      <c r="H295" s="38"/>
      <c r="I295" s="39"/>
      <c r="J295" s="39"/>
      <c r="K295" s="24"/>
      <c r="L295" s="25"/>
      <c r="M295" s="26"/>
      <c r="N295" s="27"/>
    </row>
    <row r="296" spans="2:14" ht="15" customHeight="1" x14ac:dyDescent="0.25">
      <c r="B296" s="37"/>
      <c r="C296" s="37"/>
      <c r="F296" s="37"/>
      <c r="G296" s="38"/>
      <c r="H296" s="38"/>
      <c r="I296" s="39"/>
      <c r="J296" s="39"/>
      <c r="K296" s="24"/>
      <c r="L296" s="25"/>
      <c r="M296" s="26"/>
      <c r="N296" s="27"/>
    </row>
    <row r="297" spans="2:14" ht="15" customHeight="1" x14ac:dyDescent="0.25">
      <c r="B297" s="37"/>
      <c r="C297" s="37"/>
      <c r="F297" s="37"/>
      <c r="G297" s="38"/>
      <c r="H297" s="38"/>
      <c r="I297" s="39"/>
      <c r="J297" s="39"/>
      <c r="K297" s="24"/>
      <c r="L297" s="25"/>
      <c r="M297" s="26"/>
      <c r="N297" s="27"/>
    </row>
    <row r="298" spans="2:14" ht="15" customHeight="1" x14ac:dyDescent="0.25">
      <c r="B298" s="37"/>
      <c r="C298" s="37"/>
      <c r="F298" s="37"/>
      <c r="G298" s="40"/>
      <c r="H298" s="38"/>
      <c r="I298" s="39"/>
      <c r="J298" s="39"/>
      <c r="K298" s="24"/>
      <c r="L298" s="25"/>
      <c r="M298" s="26"/>
      <c r="N298" s="27"/>
    </row>
    <row r="299" spans="2:14" ht="15" customHeight="1" x14ac:dyDescent="0.25">
      <c r="B299" s="37"/>
      <c r="C299" s="37"/>
      <c r="F299" s="37"/>
      <c r="G299" s="40"/>
      <c r="H299" s="41"/>
      <c r="I299" s="28"/>
      <c r="J299" s="39"/>
      <c r="K299" s="24"/>
      <c r="L299" s="25"/>
      <c r="M299" s="26"/>
      <c r="N299" s="27"/>
    </row>
    <row r="300" spans="2:14" ht="15" customHeight="1" x14ac:dyDescent="0.25">
      <c r="B300" s="37"/>
      <c r="C300" s="37"/>
      <c r="F300" s="37"/>
      <c r="G300" s="40"/>
      <c r="H300" s="38"/>
      <c r="I300" s="39"/>
      <c r="J300" s="39"/>
      <c r="K300" s="24"/>
      <c r="L300" s="25"/>
      <c r="M300" s="26"/>
      <c r="N300" s="27"/>
    </row>
    <row r="301" spans="2:14" ht="15" customHeight="1" x14ac:dyDescent="0.25">
      <c r="G301" s="42"/>
      <c r="H301" s="42"/>
      <c r="I301" s="43"/>
      <c r="J301" s="43"/>
      <c r="K301" s="24"/>
      <c r="L301" s="25"/>
      <c r="M301" s="26"/>
      <c r="N301" s="27"/>
    </row>
    <row r="302" spans="2:14" ht="15" customHeight="1" x14ac:dyDescent="0.25">
      <c r="G302" s="42"/>
      <c r="H302" s="42"/>
      <c r="I302" s="43"/>
      <c r="J302" s="43"/>
      <c r="K302" s="24"/>
      <c r="L302" s="25"/>
      <c r="M302" s="26"/>
      <c r="N302" s="27"/>
    </row>
    <row r="303" spans="2:14" ht="15" customHeight="1" x14ac:dyDescent="0.25">
      <c r="G303" s="42"/>
      <c r="H303" s="42"/>
      <c r="I303" s="43"/>
      <c r="J303" s="43"/>
      <c r="K303" s="24"/>
      <c r="L303" s="25"/>
      <c r="M303" s="26"/>
      <c r="N303" s="27"/>
    </row>
    <row r="304" spans="2:14" ht="15" customHeight="1" x14ac:dyDescent="0.25">
      <c r="G304" s="42"/>
      <c r="H304" s="42"/>
      <c r="I304" s="43"/>
      <c r="J304" s="43"/>
      <c r="K304" s="24"/>
      <c r="L304" s="25"/>
      <c r="M304" s="26"/>
      <c r="N304" s="27"/>
    </row>
    <row r="305" spans="7:14" ht="15" customHeight="1" x14ac:dyDescent="0.25">
      <c r="G305" s="42"/>
      <c r="H305" s="42"/>
      <c r="I305" s="43"/>
      <c r="J305" s="43"/>
      <c r="K305" s="24"/>
      <c r="L305" s="25"/>
      <c r="M305" s="26"/>
      <c r="N305" s="27"/>
    </row>
    <row r="306" spans="7:14" ht="15" customHeight="1" x14ac:dyDescent="0.25">
      <c r="G306" s="42"/>
      <c r="H306" s="42"/>
      <c r="I306" s="43"/>
      <c r="J306" s="43"/>
      <c r="K306" s="24"/>
      <c r="L306" s="25"/>
      <c r="M306" s="26"/>
      <c r="N306" s="27"/>
    </row>
    <row r="307" spans="7:14" ht="15" customHeight="1" x14ac:dyDescent="0.25">
      <c r="G307" s="42"/>
      <c r="H307" s="42"/>
      <c r="I307" s="43"/>
      <c r="J307" s="43"/>
      <c r="K307" s="24"/>
      <c r="L307" s="25"/>
      <c r="M307" s="26"/>
      <c r="N307" s="27"/>
    </row>
    <row r="308" spans="7:14" ht="15" customHeight="1" x14ac:dyDescent="0.25">
      <c r="G308" s="42"/>
      <c r="H308" s="42"/>
      <c r="I308" s="43"/>
      <c r="J308" s="43"/>
      <c r="K308" s="24"/>
      <c r="L308" s="25"/>
      <c r="M308" s="26"/>
      <c r="N308" s="27"/>
    </row>
    <row r="309" spans="7:14" x14ac:dyDescent="0.25">
      <c r="I309" s="24"/>
      <c r="K309" s="44"/>
    </row>
    <row r="310" spans="7:14" x14ac:dyDescent="0.25">
      <c r="I310" s="24"/>
      <c r="K310" s="44"/>
    </row>
    <row r="311" spans="7:14" x14ac:dyDescent="0.25">
      <c r="I311" s="24"/>
      <c r="K311" s="44"/>
    </row>
    <row r="312" spans="7:14" x14ac:dyDescent="0.25">
      <c r="I312" s="24"/>
      <c r="K312" s="44"/>
    </row>
    <row r="313" spans="7:14" x14ac:dyDescent="0.25">
      <c r="I313" s="24"/>
      <c r="K313" s="44"/>
    </row>
    <row r="314" spans="7:14" x14ac:dyDescent="0.25">
      <c r="I314" s="24"/>
      <c r="K314" s="44"/>
    </row>
    <row r="315" spans="7:14" x14ac:dyDescent="0.25">
      <c r="I315" s="24"/>
      <c r="K315" s="44"/>
    </row>
    <row r="316" spans="7:14" x14ac:dyDescent="0.25">
      <c r="I316" s="24"/>
      <c r="K316" s="44"/>
    </row>
    <row r="317" spans="7:14" x14ac:dyDescent="0.25">
      <c r="I317" s="24"/>
      <c r="K317" s="44"/>
    </row>
    <row r="318" spans="7:14" x14ac:dyDescent="0.25">
      <c r="I318" s="24"/>
      <c r="K318" s="44"/>
    </row>
    <row r="319" spans="7:14" x14ac:dyDescent="0.25">
      <c r="I319" s="24"/>
      <c r="K319" s="44"/>
    </row>
    <row r="320" spans="7:14" x14ac:dyDescent="0.25">
      <c r="I320" s="24"/>
      <c r="K320" s="44"/>
    </row>
    <row r="321" spans="8:11" x14ac:dyDescent="0.25">
      <c r="I321" s="24"/>
      <c r="K321" s="44"/>
    </row>
    <row r="322" spans="8:11" x14ac:dyDescent="0.25">
      <c r="H322" s="45"/>
      <c r="I322" s="24"/>
    </row>
  </sheetData>
  <autoFilter ref="A2:P280" xr:uid="{E6F7F75E-2FB1-4263-8E71-4C64139B52E2}">
    <sortState xmlns:xlrd2="http://schemas.microsoft.com/office/spreadsheetml/2017/richdata2" ref="A3:P280">
      <sortCondition descending="1" ref="F3:F280"/>
      <sortCondition ref="L3:L280"/>
    </sortState>
  </autoFilter>
  <sortState xmlns:xlrd2="http://schemas.microsoft.com/office/spreadsheetml/2017/richdata2" ref="A3:P308">
    <sortCondition ref="A228:A308"/>
  </sortState>
  <mergeCells count="1">
    <mergeCell ref="A1:P1"/>
  </mergeCells>
  <conditionalFormatting sqref="D125:D133">
    <cfRule type="expression" dxfId="43" priority="11">
      <formula>(ROW(D125)-1)/3=ROUND((ROW(D125)-1)/3,0)</formula>
    </cfRule>
  </conditionalFormatting>
  <conditionalFormatting sqref="D135:D219 A143:D178 F143:J184 A178:A217 A179:C184 E198:E217 A233:D280 F233:J280 A285:A291">
    <cfRule type="expression" dxfId="42" priority="1">
      <formula>(ROW(A135)-1)/3=ROUND((ROW(A135)-1)/3,0)</formula>
    </cfRule>
  </conditionalFormatting>
  <conditionalFormatting sqref="D221:D232">
    <cfRule type="expression" dxfId="41" priority="8">
      <formula>(ROW(D221)-1)/3=ROUND((ROW(D221)-1)/3,0)</formula>
    </cfRule>
  </conditionalFormatting>
  <conditionalFormatting sqref="P162:P184">
    <cfRule type="expression" dxfId="40" priority="14">
      <formula>(ROW(P162)-1)/3=ROUND((ROW(P162)-1)/3,0)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0C47-4874-4271-BE45-136EFC5E64B8}">
  <dimension ref="A1:T86"/>
  <sheetViews>
    <sheetView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0" sqref="C10"/>
    </sheetView>
  </sheetViews>
  <sheetFormatPr defaultRowHeight="15" x14ac:dyDescent="0.25"/>
  <cols>
    <col min="1" max="1" width="25.5703125" customWidth="1"/>
    <col min="2" max="3" width="9" style="12" customWidth="1"/>
    <col min="4" max="5" width="10.7109375" customWidth="1"/>
    <col min="6" max="6" width="13.85546875" bestFit="1" customWidth="1"/>
    <col min="7" max="7" width="15.140625" bestFit="1" customWidth="1"/>
    <col min="8" max="8" width="16.28515625" bestFit="1" customWidth="1"/>
    <col min="9" max="9" width="11.85546875" customWidth="1"/>
    <col min="10" max="10" width="13.28515625" customWidth="1"/>
    <col min="11" max="11" width="11.7109375" customWidth="1"/>
    <col min="12" max="14" width="14.140625" customWidth="1"/>
    <col min="15" max="15" width="12.85546875" customWidth="1"/>
    <col min="16" max="16" width="40.7109375" customWidth="1"/>
    <col min="17" max="17" width="16.42578125" bestFit="1" customWidth="1"/>
    <col min="18" max="18" width="20.85546875" bestFit="1" customWidth="1"/>
    <col min="19" max="19" width="26.7109375" bestFit="1" customWidth="1"/>
    <col min="20" max="20" width="19.7109375" bestFit="1" customWidth="1"/>
  </cols>
  <sheetData>
    <row r="1" spans="1:20" ht="22.5" x14ac:dyDescent="0.45">
      <c r="A1" s="13" t="s">
        <v>49</v>
      </c>
      <c r="B1" s="15"/>
      <c r="C1" s="15"/>
      <c r="D1" s="14"/>
      <c r="E1" s="14"/>
      <c r="F1" s="14"/>
      <c r="G1" s="14"/>
      <c r="H1" s="14"/>
      <c r="I1" s="14"/>
      <c r="J1" s="14"/>
      <c r="K1" s="14"/>
      <c r="L1" s="14"/>
      <c r="O1" s="14"/>
      <c r="P1" s="14"/>
    </row>
    <row r="2" spans="1:20" ht="37.5" thickBot="1" x14ac:dyDescent="0.75">
      <c r="A2" s="266" t="s">
        <v>72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1:20" s="6" customFormat="1" ht="60.75" thickBot="1" x14ac:dyDescent="0.3">
      <c r="A3" s="57" t="s">
        <v>8</v>
      </c>
      <c r="B3" s="58" t="s">
        <v>77</v>
      </c>
      <c r="C3" s="58" t="s">
        <v>78</v>
      </c>
      <c r="D3" s="49" t="s">
        <v>0</v>
      </c>
      <c r="E3" s="49" t="s">
        <v>1</v>
      </c>
      <c r="F3" s="51" t="s">
        <v>2</v>
      </c>
      <c r="G3" s="51" t="s">
        <v>38</v>
      </c>
      <c r="H3" s="51" t="s">
        <v>40</v>
      </c>
      <c r="I3" s="52" t="s">
        <v>110</v>
      </c>
      <c r="J3" s="52" t="s">
        <v>39</v>
      </c>
      <c r="K3" s="53" t="s">
        <v>14</v>
      </c>
      <c r="L3" s="54" t="s">
        <v>75</v>
      </c>
      <c r="M3" s="227" t="s">
        <v>112</v>
      </c>
      <c r="N3" s="227" t="s">
        <v>114</v>
      </c>
      <c r="O3" s="54" t="s">
        <v>42</v>
      </c>
      <c r="P3" s="59" t="s">
        <v>43</v>
      </c>
    </row>
    <row r="4" spans="1:20" ht="15.75" thickTop="1" x14ac:dyDescent="0.25">
      <c r="A4" s="60" t="s">
        <v>67</v>
      </c>
      <c r="B4" s="109">
        <v>2</v>
      </c>
      <c r="C4" s="109"/>
      <c r="D4" s="62" t="s">
        <v>18</v>
      </c>
      <c r="E4" s="61" t="s">
        <v>33</v>
      </c>
      <c r="F4" s="110">
        <v>7510517.4103160473</v>
      </c>
      <c r="G4" s="110">
        <v>942621.7394997885</v>
      </c>
      <c r="H4" s="111">
        <v>932961.49245619134</v>
      </c>
      <c r="I4" s="112">
        <v>25433.809999999954</v>
      </c>
      <c r="J4" s="110">
        <f t="shared" ref="J4:J35" si="0">F4-G4</f>
        <v>6567895.6708162585</v>
      </c>
      <c r="K4" s="65">
        <f t="shared" ref="K4:K35" si="1">J4/H4</f>
        <v>7.0398357530545823</v>
      </c>
      <c r="L4" s="66">
        <f t="shared" ref="L4:L35" si="2">+IF(E4="Weekdays",K4/$G$77,IF(E4="Saturdays",K4/$G$78,IF(E4="Sundays",K4/$G$79,"NA")))</f>
        <v>0.56222546972976006</v>
      </c>
      <c r="M4" s="66">
        <f>(G4/F4)</f>
        <v>0.12550689759470546</v>
      </c>
      <c r="N4" s="66">
        <f>+IF(E4="Weekdays",M4/$G$83,IF(E4="Saturdays",M4/$G$84,IF(E4="Sundays",M4/$G$85,"NA")))</f>
        <v>1.4352516596831202</v>
      </c>
      <c r="O4" s="113">
        <f t="shared" ref="O4:O35" si="3">H4/I4</f>
        <v>36.681940002547513</v>
      </c>
      <c r="P4" s="114"/>
    </row>
    <row r="5" spans="1:20" x14ac:dyDescent="0.25">
      <c r="A5" s="69" t="s">
        <v>67</v>
      </c>
      <c r="B5" s="115">
        <v>3</v>
      </c>
      <c r="C5" s="115"/>
      <c r="D5" s="21" t="s">
        <v>18</v>
      </c>
      <c r="E5" s="22" t="s">
        <v>33</v>
      </c>
      <c r="F5" s="24">
        <v>12098583.532312371</v>
      </c>
      <c r="G5" s="24">
        <v>1482427.0957735269</v>
      </c>
      <c r="H5" s="29">
        <v>1163848.7536206134</v>
      </c>
      <c r="I5" s="30">
        <v>43078.199999999946</v>
      </c>
      <c r="J5" s="24">
        <f t="shared" si="0"/>
        <v>10616156.436538843</v>
      </c>
      <c r="K5" s="25">
        <f t="shared" si="1"/>
        <v>9.1215945401093368</v>
      </c>
      <c r="L5" s="71">
        <f t="shared" si="2"/>
        <v>0.72848187868192504</v>
      </c>
      <c r="M5" s="71">
        <f t="shared" ref="M5:M54" si="4">G5/F5</f>
        <v>0.12252897967884629</v>
      </c>
      <c r="N5" s="71">
        <f t="shared" ref="N5:N68" si="5">+IF(E5="Weekdays",M5/$G$83,IF(E5="Saturdays",M5/$G$84,IF(E5="Sundays",M5/$G$85,"NA")))</f>
        <v>1.40119726336668</v>
      </c>
      <c r="O5" s="116">
        <f t="shared" si="3"/>
        <v>27.017116630235591</v>
      </c>
      <c r="P5" s="117"/>
    </row>
    <row r="6" spans="1:20" x14ac:dyDescent="0.25">
      <c r="A6" s="69" t="s">
        <v>67</v>
      </c>
      <c r="B6" s="115">
        <v>4</v>
      </c>
      <c r="C6" s="115"/>
      <c r="D6" s="21" t="s">
        <v>18</v>
      </c>
      <c r="E6" s="22" t="s">
        <v>33</v>
      </c>
      <c r="F6" s="24">
        <v>9479698.0261487421</v>
      </c>
      <c r="G6" s="24">
        <v>1001307.0066419124</v>
      </c>
      <c r="H6" s="29">
        <v>730516.78188253299</v>
      </c>
      <c r="I6" s="30">
        <v>33930.989999999947</v>
      </c>
      <c r="J6" s="24">
        <f t="shared" si="0"/>
        <v>8478391.0195068289</v>
      </c>
      <c r="K6" s="25">
        <f t="shared" si="1"/>
        <v>11.606018136445979</v>
      </c>
      <c r="L6" s="71">
        <f t="shared" si="2"/>
        <v>0.92689648272321878</v>
      </c>
      <c r="M6" s="71">
        <f t="shared" si="4"/>
        <v>0.10562646656886254</v>
      </c>
      <c r="N6" s="71">
        <f t="shared" si="5"/>
        <v>1.2079062135611174</v>
      </c>
      <c r="O6" s="116">
        <f t="shared" si="3"/>
        <v>21.529486227266993</v>
      </c>
      <c r="P6" s="117"/>
    </row>
    <row r="7" spans="1:20" x14ac:dyDescent="0.25">
      <c r="A7" s="69" t="s">
        <v>67</v>
      </c>
      <c r="B7" s="115">
        <v>6</v>
      </c>
      <c r="C7" s="115"/>
      <c r="D7" s="21" t="s">
        <v>18</v>
      </c>
      <c r="E7" s="22" t="s">
        <v>33</v>
      </c>
      <c r="F7" s="24">
        <v>10784955.608333088</v>
      </c>
      <c r="G7" s="24">
        <v>1093396.3886984279</v>
      </c>
      <c r="H7" s="29">
        <v>865306.65933700034</v>
      </c>
      <c r="I7" s="30">
        <v>37674.860000000153</v>
      </c>
      <c r="J7" s="24">
        <f t="shared" si="0"/>
        <v>9691559.2196346596</v>
      </c>
      <c r="K7" s="25">
        <f t="shared" si="1"/>
        <v>11.200144035711398</v>
      </c>
      <c r="L7" s="71">
        <f t="shared" si="2"/>
        <v>0.89448198259263967</v>
      </c>
      <c r="M7" s="71">
        <f t="shared" si="4"/>
        <v>0.10138163089457743</v>
      </c>
      <c r="N7" s="71">
        <f t="shared" si="5"/>
        <v>1.1593638022406352</v>
      </c>
      <c r="O7" s="116">
        <f t="shared" si="3"/>
        <v>22.967747175092271</v>
      </c>
      <c r="P7" s="117"/>
    </row>
    <row r="8" spans="1:20" x14ac:dyDescent="0.25">
      <c r="A8" s="69" t="s">
        <v>67</v>
      </c>
      <c r="B8" s="115">
        <v>7</v>
      </c>
      <c r="C8" s="115"/>
      <c r="D8" s="21" t="s">
        <v>18</v>
      </c>
      <c r="E8" s="22" t="s">
        <v>33</v>
      </c>
      <c r="F8" s="24">
        <v>3777970.9257577085</v>
      </c>
      <c r="G8" s="24">
        <v>214461.88599824763</v>
      </c>
      <c r="H8" s="29">
        <v>183753.14757052099</v>
      </c>
      <c r="I8" s="30">
        <v>13876.579999999958</v>
      </c>
      <c r="J8" s="24">
        <f t="shared" si="0"/>
        <v>3563509.0397594608</v>
      </c>
      <c r="K8" s="250">
        <f t="shared" si="1"/>
        <v>19.392914281328721</v>
      </c>
      <c r="L8" s="71">
        <f t="shared" si="2"/>
        <v>1.5487847619908066</v>
      </c>
      <c r="M8" s="256">
        <f t="shared" si="4"/>
        <v>5.6766420444391119E-2</v>
      </c>
      <c r="N8" s="71">
        <f t="shared" si="5"/>
        <v>0.64916033077467417</v>
      </c>
      <c r="O8" s="116">
        <f t="shared" si="3"/>
        <v>13.241962181641409</v>
      </c>
      <c r="P8" s="117"/>
      <c r="Q8" s="2"/>
      <c r="S8" s="2"/>
      <c r="T8" s="2"/>
    </row>
    <row r="9" spans="1:20" x14ac:dyDescent="0.25">
      <c r="A9" s="69" t="s">
        <v>67</v>
      </c>
      <c r="B9" s="56">
        <v>9</v>
      </c>
      <c r="C9" s="56"/>
      <c r="D9" s="21" t="s">
        <v>18</v>
      </c>
      <c r="E9" s="21" t="s">
        <v>33</v>
      </c>
      <c r="F9" s="24">
        <v>4914438.7460071295</v>
      </c>
      <c r="G9" s="24">
        <v>310095.39919403283</v>
      </c>
      <c r="H9" s="28">
        <v>255212.1262585627</v>
      </c>
      <c r="I9" s="30">
        <v>16753.500000000025</v>
      </c>
      <c r="J9" s="24">
        <f t="shared" si="0"/>
        <v>4604343.3468130967</v>
      </c>
      <c r="K9" s="250">
        <f t="shared" si="1"/>
        <v>18.041240493989321</v>
      </c>
      <c r="L9" s="71">
        <f t="shared" si="2"/>
        <v>1.4408354494406441</v>
      </c>
      <c r="M9" s="255">
        <f t="shared" si="4"/>
        <v>6.3098843066459687E-2</v>
      </c>
      <c r="N9" s="71">
        <f t="shared" si="5"/>
        <v>0.7215756342545544</v>
      </c>
      <c r="O9" s="116">
        <f t="shared" si="3"/>
        <v>15.233361760740282</v>
      </c>
      <c r="P9" s="117"/>
      <c r="Q9" s="8"/>
      <c r="S9" s="8"/>
      <c r="T9" s="10"/>
    </row>
    <row r="10" spans="1:20" x14ac:dyDescent="0.25">
      <c r="A10" s="69" t="s">
        <v>67</v>
      </c>
      <c r="B10" s="115">
        <v>10</v>
      </c>
      <c r="C10" s="115"/>
      <c r="D10" s="21" t="s">
        <v>18</v>
      </c>
      <c r="E10" s="22" t="s">
        <v>33</v>
      </c>
      <c r="F10" s="24">
        <v>10542540.112010803</v>
      </c>
      <c r="G10" s="24">
        <v>963981.325320884</v>
      </c>
      <c r="H10" s="29">
        <v>999920.49610112363</v>
      </c>
      <c r="I10" s="30">
        <v>37375.899999999951</v>
      </c>
      <c r="J10" s="24">
        <f t="shared" si="0"/>
        <v>9578558.7866899185</v>
      </c>
      <c r="K10" s="25">
        <f t="shared" si="1"/>
        <v>9.5793203800087152</v>
      </c>
      <c r="L10" s="71">
        <f t="shared" si="2"/>
        <v>0.76503743684721526</v>
      </c>
      <c r="M10" s="71">
        <f t="shared" si="4"/>
        <v>9.1437292633361547E-2</v>
      </c>
      <c r="N10" s="71">
        <f t="shared" si="5"/>
        <v>1.0456439329156002</v>
      </c>
      <c r="O10" s="116">
        <f t="shared" si="3"/>
        <v>26.753081426831862</v>
      </c>
      <c r="P10" s="117"/>
      <c r="Q10" s="9"/>
      <c r="S10" s="8"/>
      <c r="T10" s="10"/>
    </row>
    <row r="11" spans="1:20" x14ac:dyDescent="0.25">
      <c r="A11" s="69" t="s">
        <v>67</v>
      </c>
      <c r="B11" s="115">
        <v>11</v>
      </c>
      <c r="C11" s="115"/>
      <c r="D11" s="21" t="s">
        <v>18</v>
      </c>
      <c r="E11" s="22" t="s">
        <v>33</v>
      </c>
      <c r="F11" s="24">
        <v>9164293.1493744086</v>
      </c>
      <c r="G11" s="24">
        <v>824010.91137505113</v>
      </c>
      <c r="H11" s="29">
        <v>711845.01043629833</v>
      </c>
      <c r="I11" s="30">
        <v>32160.679999999884</v>
      </c>
      <c r="J11" s="24">
        <f t="shared" si="0"/>
        <v>8340282.2379993573</v>
      </c>
      <c r="K11" s="25">
        <f t="shared" si="1"/>
        <v>11.716430003333869</v>
      </c>
      <c r="L11" s="71">
        <f t="shared" si="2"/>
        <v>0.93571435375065704</v>
      </c>
      <c r="M11" s="71">
        <f t="shared" si="4"/>
        <v>8.9915381136765726E-2</v>
      </c>
      <c r="N11" s="71">
        <f t="shared" si="5"/>
        <v>1.0282399013982748</v>
      </c>
      <c r="O11" s="116">
        <f t="shared" si="3"/>
        <v>22.134016147553499</v>
      </c>
      <c r="P11" s="117"/>
      <c r="Q11" s="9"/>
      <c r="S11" s="8"/>
    </row>
    <row r="12" spans="1:20" x14ac:dyDescent="0.25">
      <c r="A12" s="69" t="s">
        <v>67</v>
      </c>
      <c r="B12" s="115">
        <v>14</v>
      </c>
      <c r="C12" s="115"/>
      <c r="D12" s="21" t="s">
        <v>18</v>
      </c>
      <c r="E12" s="22" t="s">
        <v>33</v>
      </c>
      <c r="F12" s="24">
        <v>9018299.8313540593</v>
      </c>
      <c r="G12" s="24">
        <v>750457.932205647</v>
      </c>
      <c r="H12" s="29">
        <v>675184.79708741221</v>
      </c>
      <c r="I12" s="30">
        <v>32844.849999999933</v>
      </c>
      <c r="J12" s="24">
        <f t="shared" si="0"/>
        <v>8267841.899148412</v>
      </c>
      <c r="K12" s="25">
        <f t="shared" si="1"/>
        <v>12.24530222661104</v>
      </c>
      <c r="L12" s="71">
        <f t="shared" si="2"/>
        <v>0.97795190652736941</v>
      </c>
      <c r="M12" s="71">
        <f t="shared" si="4"/>
        <v>8.3215012390308707E-2</v>
      </c>
      <c r="N12" s="71">
        <f t="shared" si="5"/>
        <v>0.95161689861402765</v>
      </c>
      <c r="O12" s="116">
        <f t="shared" si="3"/>
        <v>20.556793442119954</v>
      </c>
      <c r="P12" s="117"/>
      <c r="Q12" s="8"/>
      <c r="S12" s="8"/>
    </row>
    <row r="13" spans="1:20" x14ac:dyDescent="0.25">
      <c r="A13" s="69" t="s">
        <v>67</v>
      </c>
      <c r="B13" s="115">
        <v>17</v>
      </c>
      <c r="C13" s="115"/>
      <c r="D13" s="21" t="s">
        <v>18</v>
      </c>
      <c r="E13" s="22" t="s">
        <v>33</v>
      </c>
      <c r="F13" s="24">
        <v>9629775.6550473385</v>
      </c>
      <c r="G13" s="24">
        <v>871082.01163496205</v>
      </c>
      <c r="H13" s="29">
        <v>817857.96415443765</v>
      </c>
      <c r="I13" s="30">
        <v>33603.35000000018</v>
      </c>
      <c r="J13" s="24">
        <f t="shared" si="0"/>
        <v>8758693.6434123758</v>
      </c>
      <c r="K13" s="25">
        <f t="shared" si="1"/>
        <v>10.70930898431461</v>
      </c>
      <c r="L13" s="71">
        <f t="shared" si="2"/>
        <v>0.85528220904513164</v>
      </c>
      <c r="M13" s="71">
        <f t="shared" si="4"/>
        <v>9.0457144884615689E-2</v>
      </c>
      <c r="N13" s="71">
        <f t="shared" si="5"/>
        <v>1.0344353164165696</v>
      </c>
      <c r="O13" s="116">
        <f t="shared" si="3"/>
        <v>24.338584223133505</v>
      </c>
      <c r="P13" s="117"/>
    </row>
    <row r="14" spans="1:20" x14ac:dyDescent="0.25">
      <c r="A14" s="69" t="s">
        <v>67</v>
      </c>
      <c r="B14" s="115">
        <v>18</v>
      </c>
      <c r="C14" s="115"/>
      <c r="D14" s="21" t="s">
        <v>18</v>
      </c>
      <c r="E14" s="22" t="s">
        <v>33</v>
      </c>
      <c r="F14" s="24">
        <v>11282415.939044859</v>
      </c>
      <c r="G14" s="24">
        <v>1229252.1702713661</v>
      </c>
      <c r="H14" s="29">
        <v>1242657.6915457335</v>
      </c>
      <c r="I14" s="30">
        <v>40074.219999999958</v>
      </c>
      <c r="J14" s="24">
        <f t="shared" si="0"/>
        <v>10053163.768773492</v>
      </c>
      <c r="K14" s="25">
        <f t="shared" si="1"/>
        <v>8.0900507333346408</v>
      </c>
      <c r="L14" s="71">
        <f t="shared" si="2"/>
        <v>0.64609924623782522</v>
      </c>
      <c r="M14" s="71">
        <f t="shared" si="4"/>
        <v>0.10895292080283218</v>
      </c>
      <c r="N14" s="71">
        <f t="shared" si="5"/>
        <v>1.2459463456308488</v>
      </c>
      <c r="O14" s="116">
        <f t="shared" si="3"/>
        <v>31.008905264924302</v>
      </c>
      <c r="P14" s="117"/>
    </row>
    <row r="15" spans="1:20" x14ac:dyDescent="0.25">
      <c r="A15" s="69" t="s">
        <v>67</v>
      </c>
      <c r="B15" s="115">
        <v>21</v>
      </c>
      <c r="C15" s="115"/>
      <c r="D15" s="21" t="s">
        <v>18</v>
      </c>
      <c r="E15" s="22" t="s">
        <v>33</v>
      </c>
      <c r="F15" s="24">
        <v>15800158.712435385</v>
      </c>
      <c r="G15" s="24">
        <v>1793111.1578258215</v>
      </c>
      <c r="H15" s="29">
        <v>1841977.2843820595</v>
      </c>
      <c r="I15" s="30">
        <v>56758.219999999834</v>
      </c>
      <c r="J15" s="24">
        <f t="shared" si="0"/>
        <v>14007047.554609563</v>
      </c>
      <c r="K15" s="25">
        <f t="shared" si="1"/>
        <v>7.6043541217222996</v>
      </c>
      <c r="L15" s="71">
        <f t="shared" si="2"/>
        <v>0.60730984614544148</v>
      </c>
      <c r="M15" s="71">
        <f t="shared" si="4"/>
        <v>0.113486907977359</v>
      </c>
      <c r="N15" s="71">
        <f t="shared" si="5"/>
        <v>1.2977953893243335</v>
      </c>
      <c r="O15" s="116">
        <f t="shared" si="3"/>
        <v>32.453048816225468</v>
      </c>
      <c r="P15" s="117"/>
    </row>
    <row r="16" spans="1:20" x14ac:dyDescent="0.25">
      <c r="A16" s="69" t="s">
        <v>67</v>
      </c>
      <c r="B16" s="115">
        <v>22</v>
      </c>
      <c r="C16" s="115"/>
      <c r="D16" s="21" t="s">
        <v>18</v>
      </c>
      <c r="E16" s="22" t="s">
        <v>33</v>
      </c>
      <c r="F16" s="24">
        <v>10109268.345235327</v>
      </c>
      <c r="G16" s="24">
        <v>801499.23617248842</v>
      </c>
      <c r="H16" s="29">
        <v>655360.94869727036</v>
      </c>
      <c r="I16" s="30">
        <v>37045.110000000073</v>
      </c>
      <c r="J16" s="24">
        <f t="shared" si="0"/>
        <v>9307769.1090628393</v>
      </c>
      <c r="K16" s="25">
        <f t="shared" si="1"/>
        <v>14.20250798825421</v>
      </c>
      <c r="L16" s="71">
        <f t="shared" si="2"/>
        <v>1.1342610829481639</v>
      </c>
      <c r="M16" s="71">
        <f t="shared" si="4"/>
        <v>7.9283604787308753E-2</v>
      </c>
      <c r="N16" s="71">
        <f t="shared" si="5"/>
        <v>0.90665873778594464</v>
      </c>
      <c r="O16" s="116">
        <f t="shared" si="3"/>
        <v>17.690889531635055</v>
      </c>
      <c r="P16" s="117"/>
    </row>
    <row r="17" spans="1:16" x14ac:dyDescent="0.25">
      <c r="A17" s="69" t="s">
        <v>67</v>
      </c>
      <c r="B17" s="115">
        <v>25</v>
      </c>
      <c r="C17" s="115"/>
      <c r="D17" s="21" t="s">
        <v>18</v>
      </c>
      <c r="E17" s="22" t="s">
        <v>33</v>
      </c>
      <c r="F17" s="24">
        <v>1137091.6966564937</v>
      </c>
      <c r="G17" s="24">
        <v>95605.491793729612</v>
      </c>
      <c r="H17" s="29">
        <v>45142.457972969249</v>
      </c>
      <c r="I17" s="30">
        <v>3451.319999999992</v>
      </c>
      <c r="J17" s="24">
        <f t="shared" si="0"/>
        <v>1041486.2048627641</v>
      </c>
      <c r="K17" s="252">
        <f t="shared" si="1"/>
        <v>23.071100946394928</v>
      </c>
      <c r="L17" s="71">
        <f t="shared" si="2"/>
        <v>1.8425373860663465</v>
      </c>
      <c r="M17" s="71">
        <f t="shared" si="4"/>
        <v>8.4078963969966683E-2</v>
      </c>
      <c r="N17" s="71">
        <f t="shared" si="5"/>
        <v>0.961496737589844</v>
      </c>
      <c r="O17" s="116">
        <f t="shared" si="3"/>
        <v>13.079765994740955</v>
      </c>
      <c r="P17" s="117"/>
    </row>
    <row r="18" spans="1:16" x14ac:dyDescent="0.25">
      <c r="A18" s="69" t="s">
        <v>67</v>
      </c>
      <c r="B18" s="115">
        <v>54</v>
      </c>
      <c r="C18" s="115"/>
      <c r="D18" s="21" t="s">
        <v>18</v>
      </c>
      <c r="E18" s="22" t="s">
        <v>33</v>
      </c>
      <c r="F18" s="24">
        <v>9458902.1459128298</v>
      </c>
      <c r="G18" s="24">
        <v>916533.52607568528</v>
      </c>
      <c r="H18" s="29">
        <v>865800.40659867483</v>
      </c>
      <c r="I18" s="30">
        <v>33512.979999999887</v>
      </c>
      <c r="J18" s="24">
        <f t="shared" si="0"/>
        <v>8542368.6198371444</v>
      </c>
      <c r="K18" s="25">
        <f t="shared" si="1"/>
        <v>9.8664409888603757</v>
      </c>
      <c r="L18" s="71">
        <f t="shared" si="2"/>
        <v>0.78796787511925548</v>
      </c>
      <c r="M18" s="71">
        <f t="shared" si="4"/>
        <v>9.6896395790680351E-2</v>
      </c>
      <c r="N18" s="71">
        <f t="shared" si="5"/>
        <v>1.1080722696610836</v>
      </c>
      <c r="O18" s="116">
        <f t="shared" si="3"/>
        <v>25.834778244091627</v>
      </c>
      <c r="P18" s="117"/>
    </row>
    <row r="19" spans="1:16" x14ac:dyDescent="0.25">
      <c r="A19" s="69" t="s">
        <v>67</v>
      </c>
      <c r="B19" s="115">
        <v>61</v>
      </c>
      <c r="C19" s="115"/>
      <c r="D19" s="21" t="s">
        <v>18</v>
      </c>
      <c r="E19" s="22" t="s">
        <v>33</v>
      </c>
      <c r="F19" s="24">
        <v>5461455.659321106</v>
      </c>
      <c r="G19" s="24">
        <v>502372.99941716134</v>
      </c>
      <c r="H19" s="29">
        <v>359426.13162034779</v>
      </c>
      <c r="I19" s="30">
        <v>19472.830000000027</v>
      </c>
      <c r="J19" s="24">
        <f t="shared" si="0"/>
        <v>4959082.6599039445</v>
      </c>
      <c r="K19" s="25">
        <f t="shared" si="1"/>
        <v>13.797223472727605</v>
      </c>
      <c r="L19" s="71">
        <f t="shared" si="2"/>
        <v>1.1018936691179086</v>
      </c>
      <c r="M19" s="71">
        <f t="shared" si="4"/>
        <v>9.1985183210223032E-2</v>
      </c>
      <c r="N19" s="71">
        <f t="shared" si="5"/>
        <v>1.0519094121429216</v>
      </c>
      <c r="O19" s="116">
        <f t="shared" si="3"/>
        <v>18.457827219790204</v>
      </c>
      <c r="P19" s="117"/>
    </row>
    <row r="20" spans="1:16" x14ac:dyDescent="0.25">
      <c r="A20" s="69" t="s">
        <v>67</v>
      </c>
      <c r="B20" s="115">
        <v>62</v>
      </c>
      <c r="C20" s="115"/>
      <c r="D20" s="21" t="s">
        <v>18</v>
      </c>
      <c r="E20" s="22" t="s">
        <v>33</v>
      </c>
      <c r="F20" s="24">
        <v>5267891.7652610932</v>
      </c>
      <c r="G20" s="24">
        <v>188054.39292033479</v>
      </c>
      <c r="H20" s="29">
        <v>406182.12231132085</v>
      </c>
      <c r="I20" s="30">
        <v>18302.229999999978</v>
      </c>
      <c r="J20" s="24">
        <f t="shared" si="0"/>
        <v>5079837.3723407583</v>
      </c>
      <c r="K20" s="25">
        <f t="shared" si="1"/>
        <v>12.506304668050566</v>
      </c>
      <c r="L20" s="71">
        <f t="shared" si="2"/>
        <v>0.99879645821670116</v>
      </c>
      <c r="M20" s="256">
        <f t="shared" si="4"/>
        <v>3.5698226406330545E-2</v>
      </c>
      <c r="N20" s="71">
        <f t="shared" si="5"/>
        <v>0.40823205480613445</v>
      </c>
      <c r="O20" s="116">
        <f t="shared" si="3"/>
        <v>22.193039990827423</v>
      </c>
      <c r="P20" s="117"/>
    </row>
    <row r="21" spans="1:16" x14ac:dyDescent="0.25">
      <c r="A21" s="69" t="s">
        <v>67</v>
      </c>
      <c r="B21" s="115">
        <v>63</v>
      </c>
      <c r="C21" s="115"/>
      <c r="D21" s="21" t="s">
        <v>18</v>
      </c>
      <c r="E21" s="22" t="s">
        <v>33</v>
      </c>
      <c r="F21" s="24">
        <v>8811395.3801226933</v>
      </c>
      <c r="G21" s="24">
        <v>822437.90340048296</v>
      </c>
      <c r="H21" s="29">
        <v>736734.45573260693</v>
      </c>
      <c r="I21" s="30">
        <v>31357.210000000097</v>
      </c>
      <c r="J21" s="24">
        <f t="shared" si="0"/>
        <v>7988957.4767222106</v>
      </c>
      <c r="K21" s="25">
        <f t="shared" si="1"/>
        <v>10.843740800446222</v>
      </c>
      <c r="L21" s="71">
        <f t="shared" si="2"/>
        <v>0.86601839574358208</v>
      </c>
      <c r="M21" s="71">
        <f t="shared" si="4"/>
        <v>9.3337986541358789E-2</v>
      </c>
      <c r="N21" s="71">
        <f t="shared" si="5"/>
        <v>1.0673795836111657</v>
      </c>
      <c r="O21" s="116">
        <f t="shared" si="3"/>
        <v>23.494898166405896</v>
      </c>
      <c r="P21" s="117"/>
    </row>
    <row r="22" spans="1:16" x14ac:dyDescent="0.25">
      <c r="A22" s="69" t="s">
        <v>67</v>
      </c>
      <c r="B22" s="115">
        <v>64</v>
      </c>
      <c r="C22" s="115"/>
      <c r="D22" s="21" t="s">
        <v>18</v>
      </c>
      <c r="E22" s="22" t="s">
        <v>33</v>
      </c>
      <c r="F22" s="24">
        <v>8151625.2837574957</v>
      </c>
      <c r="G22" s="24">
        <v>655099.63911717979</v>
      </c>
      <c r="H22" s="29">
        <v>644714.13274458051</v>
      </c>
      <c r="I22" s="30">
        <v>28030.200000000092</v>
      </c>
      <c r="J22" s="24">
        <f t="shared" si="0"/>
        <v>7496525.6446403163</v>
      </c>
      <c r="K22" s="25">
        <f t="shared" si="1"/>
        <v>11.627673823012424</v>
      </c>
      <c r="L22" s="71">
        <f t="shared" si="2"/>
        <v>0.9286259802540181</v>
      </c>
      <c r="M22" s="71">
        <f t="shared" si="4"/>
        <v>8.0364297463782736E-2</v>
      </c>
      <c r="N22" s="71">
        <f t="shared" si="5"/>
        <v>0.91901714985127569</v>
      </c>
      <c r="O22" s="116">
        <f t="shared" si="3"/>
        <v>23.000696846422017</v>
      </c>
      <c r="P22" s="117"/>
    </row>
    <row r="23" spans="1:16" x14ac:dyDescent="0.25">
      <c r="A23" s="69" t="s">
        <v>67</v>
      </c>
      <c r="B23" s="115">
        <v>68</v>
      </c>
      <c r="C23" s="115"/>
      <c r="D23" s="21" t="s">
        <v>18</v>
      </c>
      <c r="E23" s="22" t="s">
        <v>33</v>
      </c>
      <c r="F23" s="24">
        <v>7393110.1092680423</v>
      </c>
      <c r="G23" s="24">
        <v>463248.68768246996</v>
      </c>
      <c r="H23" s="29">
        <v>487225.42284465156</v>
      </c>
      <c r="I23" s="30">
        <v>26464.430000000171</v>
      </c>
      <c r="J23" s="24">
        <f t="shared" si="0"/>
        <v>6929861.421585572</v>
      </c>
      <c r="K23" s="25">
        <f t="shared" si="1"/>
        <v>14.223111308777312</v>
      </c>
      <c r="L23" s="71">
        <f t="shared" si="2"/>
        <v>1.1359065349111683</v>
      </c>
      <c r="M23" s="255">
        <f t="shared" si="4"/>
        <v>6.2659514174114486E-2</v>
      </c>
      <c r="N23" s="71">
        <f t="shared" si="5"/>
        <v>0.71655162733565669</v>
      </c>
      <c r="O23" s="116">
        <f t="shared" si="3"/>
        <v>18.41057687033684</v>
      </c>
      <c r="P23" s="117"/>
    </row>
    <row r="24" spans="1:16" x14ac:dyDescent="0.25">
      <c r="A24" s="69" t="s">
        <v>67</v>
      </c>
      <c r="B24" s="56">
        <v>71</v>
      </c>
      <c r="C24" s="56"/>
      <c r="D24" s="21" t="s">
        <v>18</v>
      </c>
      <c r="E24" s="21" t="s">
        <v>33</v>
      </c>
      <c r="F24" s="24">
        <v>4317075.0066419225</v>
      </c>
      <c r="G24" s="24">
        <v>189824.22296684305</v>
      </c>
      <c r="H24" s="28">
        <v>182980.23519043135</v>
      </c>
      <c r="I24" s="28">
        <v>13926.059999999961</v>
      </c>
      <c r="J24" s="24">
        <f t="shared" si="0"/>
        <v>4127250.7836750792</v>
      </c>
      <c r="K24" s="252">
        <f t="shared" si="1"/>
        <v>22.555719088347235</v>
      </c>
      <c r="L24" s="71">
        <f t="shared" si="2"/>
        <v>1.801377220205185</v>
      </c>
      <c r="M24" s="256">
        <f t="shared" si="4"/>
        <v>4.3970564021888425E-2</v>
      </c>
      <c r="N24" s="71">
        <f t="shared" si="5"/>
        <v>0.5028315271835746</v>
      </c>
      <c r="O24" s="116">
        <f t="shared" si="3"/>
        <v>13.139411663487868</v>
      </c>
      <c r="P24" s="117"/>
    </row>
    <row r="25" spans="1:16" x14ac:dyDescent="0.25">
      <c r="A25" s="69" t="s">
        <v>67</v>
      </c>
      <c r="B25" s="115">
        <v>74</v>
      </c>
      <c r="C25" s="115"/>
      <c r="D25" s="21" t="s">
        <v>18</v>
      </c>
      <c r="E25" s="22" t="s">
        <v>33</v>
      </c>
      <c r="F25" s="24">
        <v>7865220.2619722076</v>
      </c>
      <c r="G25" s="24">
        <v>695311.3754593638</v>
      </c>
      <c r="H25" s="29">
        <v>584358.21747887717</v>
      </c>
      <c r="I25" s="30">
        <v>28134.029999999908</v>
      </c>
      <c r="J25" s="24">
        <f t="shared" si="0"/>
        <v>7169908.8865128439</v>
      </c>
      <c r="K25" s="25">
        <f t="shared" si="1"/>
        <v>12.269715171365782</v>
      </c>
      <c r="L25" s="71">
        <f t="shared" si="2"/>
        <v>0.97990160817009109</v>
      </c>
      <c r="M25" s="71">
        <f t="shared" si="4"/>
        <v>8.8403293525185292E-2</v>
      </c>
      <c r="N25" s="71">
        <f t="shared" si="5"/>
        <v>1.0109482122903557</v>
      </c>
      <c r="O25" s="116">
        <f t="shared" si="3"/>
        <v>20.77051234675157</v>
      </c>
      <c r="P25" s="117"/>
    </row>
    <row r="26" spans="1:16" x14ac:dyDescent="0.25">
      <c r="A26" s="69" t="s">
        <v>67</v>
      </c>
      <c r="B26" s="115">
        <v>2</v>
      </c>
      <c r="C26" s="115"/>
      <c r="D26" s="21" t="s">
        <v>18</v>
      </c>
      <c r="E26" s="22" t="s">
        <v>65</v>
      </c>
      <c r="F26" s="24">
        <v>1093468.1786855755</v>
      </c>
      <c r="G26" s="24">
        <v>91733.811165694613</v>
      </c>
      <c r="H26" s="29">
        <v>111699.38051451276</v>
      </c>
      <c r="I26" s="30">
        <v>3580.1999999999971</v>
      </c>
      <c r="J26" s="24">
        <f t="shared" si="0"/>
        <v>1001734.3675198809</v>
      </c>
      <c r="K26" s="25">
        <f t="shared" si="1"/>
        <v>8.9681282286944164</v>
      </c>
      <c r="L26" s="71">
        <f t="shared" si="2"/>
        <v>0.58249610814916897</v>
      </c>
      <c r="M26" s="71">
        <f t="shared" si="4"/>
        <v>8.3892529251253581E-2</v>
      </c>
      <c r="N26" s="71">
        <f t="shared" si="5"/>
        <v>1.5066061101782229</v>
      </c>
      <c r="O26" s="116">
        <f t="shared" si="3"/>
        <v>31.199201305656903</v>
      </c>
      <c r="P26" s="117"/>
    </row>
    <row r="27" spans="1:16" x14ac:dyDescent="0.25">
      <c r="A27" s="69" t="s">
        <v>67</v>
      </c>
      <c r="B27" s="56">
        <v>3</v>
      </c>
      <c r="C27" s="56"/>
      <c r="D27" s="21" t="s">
        <v>18</v>
      </c>
      <c r="E27" s="21" t="s">
        <v>65</v>
      </c>
      <c r="F27" s="24">
        <v>1778960.6993146008</v>
      </c>
      <c r="G27" s="24">
        <v>104545.01264851326</v>
      </c>
      <c r="H27" s="28">
        <v>109370.22676534785</v>
      </c>
      <c r="I27" s="30">
        <v>6417.8600000000051</v>
      </c>
      <c r="J27" s="24">
        <f t="shared" si="0"/>
        <v>1674415.6866660875</v>
      </c>
      <c r="K27" s="25">
        <f t="shared" si="1"/>
        <v>15.309611547743435</v>
      </c>
      <c r="L27" s="71">
        <f t="shared" si="2"/>
        <v>0.99438689060028984</v>
      </c>
      <c r="M27" s="71">
        <f t="shared" si="4"/>
        <v>5.8767466132777661E-2</v>
      </c>
      <c r="N27" s="71">
        <f t="shared" si="5"/>
        <v>1.0553910383386325</v>
      </c>
      <c r="O27" s="116">
        <f t="shared" si="3"/>
        <v>17.041541380670154</v>
      </c>
      <c r="P27" s="117"/>
    </row>
    <row r="28" spans="1:16" x14ac:dyDescent="0.25">
      <c r="A28" s="69" t="s">
        <v>67</v>
      </c>
      <c r="B28" s="115">
        <v>4</v>
      </c>
      <c r="C28" s="115"/>
      <c r="D28" s="21" t="s">
        <v>18</v>
      </c>
      <c r="E28" s="22" t="s">
        <v>65</v>
      </c>
      <c r="F28" s="24">
        <v>1750954.8874008695</v>
      </c>
      <c r="G28" s="24">
        <v>106969.26941500066</v>
      </c>
      <c r="H28" s="29">
        <v>105911.91261184718</v>
      </c>
      <c r="I28" s="30">
        <v>6388.409999999998</v>
      </c>
      <c r="J28" s="24">
        <f t="shared" si="0"/>
        <v>1643985.6179858688</v>
      </c>
      <c r="K28" s="25">
        <f t="shared" si="1"/>
        <v>15.52219743222704</v>
      </c>
      <c r="L28" s="71">
        <f t="shared" si="2"/>
        <v>1.0081947273306948</v>
      </c>
      <c r="M28" s="71">
        <f t="shared" si="4"/>
        <v>6.1091961982976409E-2</v>
      </c>
      <c r="N28" s="71">
        <f t="shared" si="5"/>
        <v>1.097136110066113</v>
      </c>
      <c r="O28" s="116">
        <f t="shared" si="3"/>
        <v>16.578759442779536</v>
      </c>
      <c r="P28" s="117"/>
    </row>
    <row r="29" spans="1:16" x14ac:dyDescent="0.25">
      <c r="A29" s="69" t="s">
        <v>67</v>
      </c>
      <c r="B29" s="115">
        <v>6</v>
      </c>
      <c r="C29" s="115"/>
      <c r="D29" s="21" t="s">
        <v>18</v>
      </c>
      <c r="E29" s="22" t="s">
        <v>65</v>
      </c>
      <c r="F29" s="24">
        <v>2069865.9495829677</v>
      </c>
      <c r="G29" s="24">
        <v>123015.87575975808</v>
      </c>
      <c r="H29" s="29">
        <v>128825.32720056825</v>
      </c>
      <c r="I29" s="30">
        <v>7267.800000000002</v>
      </c>
      <c r="J29" s="24">
        <f t="shared" si="0"/>
        <v>1946850.0738232096</v>
      </c>
      <c r="K29" s="25">
        <f t="shared" si="1"/>
        <v>15.112323920529674</v>
      </c>
      <c r="L29" s="71">
        <f t="shared" si="2"/>
        <v>0.98157270327965096</v>
      </c>
      <c r="M29" s="71">
        <f t="shared" si="4"/>
        <v>5.9431808028217029E-2</v>
      </c>
      <c r="N29" s="71">
        <f t="shared" si="5"/>
        <v>1.067321797464021</v>
      </c>
      <c r="O29" s="116">
        <f t="shared" si="3"/>
        <v>17.725491510576546</v>
      </c>
      <c r="P29" s="117"/>
    </row>
    <row r="30" spans="1:16" x14ac:dyDescent="0.25">
      <c r="A30" s="69" t="s">
        <v>67</v>
      </c>
      <c r="B30" s="115">
        <v>7</v>
      </c>
      <c r="C30" s="115"/>
      <c r="D30" s="21" t="s">
        <v>18</v>
      </c>
      <c r="E30" s="22" t="s">
        <v>65</v>
      </c>
      <c r="F30" s="24">
        <v>456382.22848173103</v>
      </c>
      <c r="G30" s="24">
        <v>18289.897780909654</v>
      </c>
      <c r="H30" s="29">
        <v>19051.977670941866</v>
      </c>
      <c r="I30" s="30">
        <v>1572.6200000000006</v>
      </c>
      <c r="J30" s="24">
        <f t="shared" si="0"/>
        <v>438092.33070082136</v>
      </c>
      <c r="K30" s="250">
        <f t="shared" si="1"/>
        <v>22.994585563104092</v>
      </c>
      <c r="L30" s="71">
        <f t="shared" si="2"/>
        <v>1.4935398176126593</v>
      </c>
      <c r="M30" s="255">
        <f t="shared" si="4"/>
        <v>4.0075832579536556E-2</v>
      </c>
      <c r="N30" s="71">
        <f t="shared" si="5"/>
        <v>0.71971240793061497</v>
      </c>
      <c r="O30" s="116">
        <f t="shared" si="3"/>
        <v>12.114800569076992</v>
      </c>
      <c r="P30" s="117"/>
    </row>
    <row r="31" spans="1:16" x14ac:dyDescent="0.25">
      <c r="A31" s="69" t="s">
        <v>67</v>
      </c>
      <c r="B31" s="56">
        <v>9</v>
      </c>
      <c r="C31" s="56"/>
      <c r="D31" s="21" t="s">
        <v>18</v>
      </c>
      <c r="E31" s="21" t="s">
        <v>65</v>
      </c>
      <c r="F31" s="24">
        <v>811399.09792945534</v>
      </c>
      <c r="G31" s="24">
        <v>30067.497943352279</v>
      </c>
      <c r="H31" s="28">
        <v>33541.480645397925</v>
      </c>
      <c r="I31" s="30">
        <v>2724.5399999999977</v>
      </c>
      <c r="J31" s="24">
        <f t="shared" si="0"/>
        <v>781331.59998610301</v>
      </c>
      <c r="K31" s="250">
        <f t="shared" si="1"/>
        <v>23.294487451116918</v>
      </c>
      <c r="L31" s="71">
        <f t="shared" si="2"/>
        <v>1.5130189863019645</v>
      </c>
      <c r="M31" s="255">
        <f t="shared" si="4"/>
        <v>3.7056361068282091E-2</v>
      </c>
      <c r="N31" s="71">
        <f t="shared" si="5"/>
        <v>0.66548643251937689</v>
      </c>
      <c r="O31" s="116">
        <f t="shared" si="3"/>
        <v>12.310878403472863</v>
      </c>
      <c r="P31" s="117"/>
    </row>
    <row r="32" spans="1:16" x14ac:dyDescent="0.25">
      <c r="A32" s="69" t="s">
        <v>67</v>
      </c>
      <c r="B32" s="115">
        <v>10</v>
      </c>
      <c r="C32" s="115"/>
      <c r="D32" s="21" t="s">
        <v>18</v>
      </c>
      <c r="E32" s="22" t="s">
        <v>65</v>
      </c>
      <c r="F32" s="24">
        <v>1742457.690736468</v>
      </c>
      <c r="G32" s="24">
        <v>122361.44903977893</v>
      </c>
      <c r="H32" s="29">
        <v>156321.00804267768</v>
      </c>
      <c r="I32" s="30">
        <v>5940.3700000000081</v>
      </c>
      <c r="J32" s="24">
        <f t="shared" si="0"/>
        <v>1620096.241696689</v>
      </c>
      <c r="K32" s="25">
        <f t="shared" si="1"/>
        <v>10.363906054484893</v>
      </c>
      <c r="L32" s="71">
        <f t="shared" si="2"/>
        <v>0.67315439610300021</v>
      </c>
      <c r="M32" s="71">
        <f t="shared" si="4"/>
        <v>7.0223483583157525E-2</v>
      </c>
      <c r="N32" s="71">
        <f t="shared" si="5"/>
        <v>1.2611269488314341</v>
      </c>
      <c r="O32" s="116">
        <f t="shared" si="3"/>
        <v>26.315028869022886</v>
      </c>
      <c r="P32" s="117"/>
    </row>
    <row r="33" spans="1:16" x14ac:dyDescent="0.25">
      <c r="A33" s="69" t="s">
        <v>67</v>
      </c>
      <c r="B33" s="115">
        <v>11</v>
      </c>
      <c r="C33" s="115"/>
      <c r="D33" s="21" t="s">
        <v>18</v>
      </c>
      <c r="E33" s="22" t="s">
        <v>65</v>
      </c>
      <c r="F33" s="24">
        <v>1506678.1597975099</v>
      </c>
      <c r="G33" s="24">
        <v>82773.557034371013</v>
      </c>
      <c r="H33" s="29">
        <v>95025.514654547384</v>
      </c>
      <c r="I33" s="30">
        <v>5296.7199999999975</v>
      </c>
      <c r="J33" s="24">
        <f t="shared" si="0"/>
        <v>1423904.6027631389</v>
      </c>
      <c r="K33" s="25">
        <f t="shared" si="1"/>
        <v>14.984445050779833</v>
      </c>
      <c r="L33" s="71">
        <f t="shared" si="2"/>
        <v>0.97326673997891866</v>
      </c>
      <c r="M33" s="71">
        <f t="shared" si="4"/>
        <v>5.4937782495961429E-2</v>
      </c>
      <c r="N33" s="71">
        <f t="shared" si="5"/>
        <v>0.98661465480635646</v>
      </c>
      <c r="O33" s="116">
        <f t="shared" si="3"/>
        <v>17.940445153707849</v>
      </c>
      <c r="P33" s="117"/>
    </row>
    <row r="34" spans="1:16" x14ac:dyDescent="0.25">
      <c r="A34" s="69" t="s">
        <v>67</v>
      </c>
      <c r="B34" s="115">
        <v>14</v>
      </c>
      <c r="C34" s="115"/>
      <c r="D34" s="21" t="s">
        <v>18</v>
      </c>
      <c r="E34" s="22" t="s">
        <v>65</v>
      </c>
      <c r="F34" s="24">
        <v>1349754.5271251863</v>
      </c>
      <c r="G34" s="24">
        <v>74063.126613986009</v>
      </c>
      <c r="H34" s="29">
        <v>87205.766356255379</v>
      </c>
      <c r="I34" s="30">
        <v>4609.8000000000011</v>
      </c>
      <c r="J34" s="24">
        <f t="shared" si="0"/>
        <v>1275691.4005112003</v>
      </c>
      <c r="K34" s="25">
        <f t="shared" si="1"/>
        <v>14.628521184020228</v>
      </c>
      <c r="L34" s="71">
        <f t="shared" si="2"/>
        <v>0.95014884269891331</v>
      </c>
      <c r="M34" s="71">
        <f t="shared" si="4"/>
        <v>5.4871552660565252E-2</v>
      </c>
      <c r="N34" s="71">
        <f t="shared" si="5"/>
        <v>0.98542524884167115</v>
      </c>
      <c r="O34" s="116">
        <f t="shared" si="3"/>
        <v>18.917472852673729</v>
      </c>
      <c r="P34" s="117"/>
    </row>
    <row r="35" spans="1:16" x14ac:dyDescent="0.25">
      <c r="A35" s="69" t="s">
        <v>67</v>
      </c>
      <c r="B35" s="115">
        <v>17</v>
      </c>
      <c r="C35" s="115"/>
      <c r="D35" s="21" t="s">
        <v>18</v>
      </c>
      <c r="E35" s="22" t="s">
        <v>65</v>
      </c>
      <c r="F35" s="24">
        <v>1411905.0947982937</v>
      </c>
      <c r="G35" s="24">
        <v>92960.158329684316</v>
      </c>
      <c r="H35" s="29">
        <v>114022.28429834</v>
      </c>
      <c r="I35" s="30">
        <v>4957.0099999999957</v>
      </c>
      <c r="J35" s="24">
        <f t="shared" si="0"/>
        <v>1318944.9364686094</v>
      </c>
      <c r="K35" s="25">
        <f t="shared" si="1"/>
        <v>11.567431266484558</v>
      </c>
      <c r="L35" s="71">
        <f t="shared" si="2"/>
        <v>0.75132552994184676</v>
      </c>
      <c r="M35" s="71">
        <f t="shared" si="4"/>
        <v>6.5840231522760181E-2</v>
      </c>
      <c r="N35" s="71">
        <f t="shared" si="5"/>
        <v>1.1824091607806315</v>
      </c>
      <c r="O35" s="116">
        <f t="shared" si="3"/>
        <v>23.002230033496019</v>
      </c>
      <c r="P35" s="117"/>
    </row>
    <row r="36" spans="1:16" x14ac:dyDescent="0.25">
      <c r="A36" s="69" t="s">
        <v>67</v>
      </c>
      <c r="B36" s="115">
        <v>18</v>
      </c>
      <c r="C36" s="115"/>
      <c r="D36" s="21" t="s">
        <v>18</v>
      </c>
      <c r="E36" s="22" t="s">
        <v>65</v>
      </c>
      <c r="F36" s="24">
        <v>1960548.2459467405</v>
      </c>
      <c r="G36" s="24">
        <v>152377.6633356525</v>
      </c>
      <c r="H36" s="29">
        <v>191673.93697510503</v>
      </c>
      <c r="I36" s="30">
        <v>6873.4100000000044</v>
      </c>
      <c r="J36" s="24">
        <f t="shared" ref="J36:J67" si="6">F36-G36</f>
        <v>1808170.5826110879</v>
      </c>
      <c r="K36" s="25">
        <f t="shared" ref="K36:K67" si="7">J36/H36</f>
        <v>9.4335756396861434</v>
      </c>
      <c r="L36" s="71">
        <f t="shared" ref="L36:L67" si="8">+IF(E36="Weekdays",K36/$G$77,IF(E36="Saturdays",K36/$G$78,IF(E36="Sundays",K36/$G$79,"NA")))</f>
        <v>0.61272775722208339</v>
      </c>
      <c r="M36" s="71">
        <f t="shared" si="4"/>
        <v>7.7721965603590626E-2</v>
      </c>
      <c r="N36" s="71">
        <f t="shared" si="5"/>
        <v>1.39579041564874</v>
      </c>
      <c r="O36" s="116">
        <f t="shared" ref="O36:O67" si="9">H36/I36</f>
        <v>27.886294717629955</v>
      </c>
      <c r="P36" s="117"/>
    </row>
    <row r="37" spans="1:16" x14ac:dyDescent="0.25">
      <c r="A37" s="69" t="s">
        <v>67</v>
      </c>
      <c r="B37" s="56">
        <v>21</v>
      </c>
      <c r="C37" s="56"/>
      <c r="D37" s="21" t="s">
        <v>18</v>
      </c>
      <c r="E37" s="21" t="s">
        <v>65</v>
      </c>
      <c r="F37" s="24">
        <v>2679767.5251424015</v>
      </c>
      <c r="G37" s="24">
        <v>208941.20028009248</v>
      </c>
      <c r="H37" s="28">
        <v>283941.13359396876</v>
      </c>
      <c r="I37" s="30">
        <v>9818.6600000000017</v>
      </c>
      <c r="J37" s="24">
        <f t="shared" si="6"/>
        <v>2470826.3248623088</v>
      </c>
      <c r="K37" s="25">
        <f t="shared" si="7"/>
        <v>8.7018963881279365</v>
      </c>
      <c r="L37" s="71">
        <f t="shared" si="8"/>
        <v>0.56520386978674519</v>
      </c>
      <c r="M37" s="71">
        <f t="shared" si="4"/>
        <v>7.7969897880969904E-2</v>
      </c>
      <c r="N37" s="71">
        <f t="shared" si="5"/>
        <v>1.4002429728352244</v>
      </c>
      <c r="O37" s="116">
        <f t="shared" si="9"/>
        <v>28.918521834340808</v>
      </c>
      <c r="P37" s="117"/>
    </row>
    <row r="38" spans="1:16" x14ac:dyDescent="0.25">
      <c r="A38" s="69" t="s">
        <v>67</v>
      </c>
      <c r="B38" s="115">
        <v>22</v>
      </c>
      <c r="C38" s="115"/>
      <c r="D38" s="21" t="s">
        <v>18</v>
      </c>
      <c r="E38" s="22" t="s">
        <v>65</v>
      </c>
      <c r="F38" s="24">
        <v>1231952.1043526968</v>
      </c>
      <c r="G38" s="24">
        <v>65944.090765087312</v>
      </c>
      <c r="H38" s="29">
        <v>76448.534349267051</v>
      </c>
      <c r="I38" s="30">
        <v>4673.7600000000039</v>
      </c>
      <c r="J38" s="24">
        <f t="shared" si="6"/>
        <v>1166008.0135876094</v>
      </c>
      <c r="K38" s="25">
        <f t="shared" si="7"/>
        <v>15.252195787829233</v>
      </c>
      <c r="L38" s="71">
        <f t="shared" si="8"/>
        <v>0.99065763340819923</v>
      </c>
      <c r="M38" s="71">
        <f t="shared" si="4"/>
        <v>5.3528128676509093E-2</v>
      </c>
      <c r="N38" s="71">
        <f t="shared" si="5"/>
        <v>0.96129901494452419</v>
      </c>
      <c r="O38" s="116">
        <f t="shared" si="9"/>
        <v>16.356966200503873</v>
      </c>
      <c r="P38" s="117"/>
    </row>
    <row r="39" spans="1:16" x14ac:dyDescent="0.25">
      <c r="A39" s="69" t="s">
        <v>67</v>
      </c>
      <c r="B39" s="115">
        <v>54</v>
      </c>
      <c r="C39" s="115"/>
      <c r="D39" s="21" t="s">
        <v>18</v>
      </c>
      <c r="E39" s="22" t="s">
        <v>65</v>
      </c>
      <c r="F39" s="24">
        <v>1678504.120246904</v>
      </c>
      <c r="G39" s="24">
        <v>132565.9345201056</v>
      </c>
      <c r="H39" s="29">
        <v>142141.92001332497</v>
      </c>
      <c r="I39" s="30">
        <v>6001.4199999999983</v>
      </c>
      <c r="J39" s="24">
        <f t="shared" si="6"/>
        <v>1545938.1857267984</v>
      </c>
      <c r="K39" s="25">
        <f t="shared" si="7"/>
        <v>10.876018739453327</v>
      </c>
      <c r="L39" s="71">
        <f t="shared" si="8"/>
        <v>0.70641703891105934</v>
      </c>
      <c r="M39" s="71">
        <f t="shared" si="4"/>
        <v>7.8978617282515498E-2</v>
      </c>
      <c r="N39" s="71">
        <f t="shared" si="5"/>
        <v>1.4183583262211303</v>
      </c>
      <c r="O39" s="116">
        <f t="shared" si="9"/>
        <v>23.684714619760825</v>
      </c>
      <c r="P39" s="117"/>
    </row>
    <row r="40" spans="1:16" x14ac:dyDescent="0.25">
      <c r="A40" s="69" t="s">
        <v>67</v>
      </c>
      <c r="B40" s="115">
        <v>61</v>
      </c>
      <c r="C40" s="115"/>
      <c r="D40" s="21" t="s">
        <v>18</v>
      </c>
      <c r="E40" s="22" t="s">
        <v>65</v>
      </c>
      <c r="F40" s="24">
        <v>442752.60857510095</v>
      </c>
      <c r="G40" s="24">
        <v>21503.139485167765</v>
      </c>
      <c r="H40" s="29">
        <v>23642.577211447104</v>
      </c>
      <c r="I40" s="30">
        <v>1496.0399999999993</v>
      </c>
      <c r="J40" s="24">
        <f t="shared" si="6"/>
        <v>421249.46908993321</v>
      </c>
      <c r="K40" s="25">
        <f t="shared" si="7"/>
        <v>17.817409046505112</v>
      </c>
      <c r="L40" s="71">
        <f t="shared" si="8"/>
        <v>1.1572728625449125</v>
      </c>
      <c r="M40" s="71">
        <f t="shared" si="4"/>
        <v>4.8566940247671837E-2</v>
      </c>
      <c r="N40" s="71">
        <f t="shared" si="5"/>
        <v>0.87220220421128458</v>
      </c>
      <c r="O40" s="116">
        <f t="shared" si="9"/>
        <v>15.803439220506881</v>
      </c>
      <c r="P40" s="117"/>
    </row>
    <row r="41" spans="1:16" x14ac:dyDescent="0.25">
      <c r="A41" s="69" t="s">
        <v>67</v>
      </c>
      <c r="B41" s="115">
        <v>62</v>
      </c>
      <c r="C41" s="115"/>
      <c r="D41" s="21" t="s">
        <v>18</v>
      </c>
      <c r="E41" s="22" t="s">
        <v>65</v>
      </c>
      <c r="F41" s="24">
        <v>853845.5690790175</v>
      </c>
      <c r="G41" s="24">
        <v>19020.438994743454</v>
      </c>
      <c r="H41" s="29">
        <v>59724.66876660048</v>
      </c>
      <c r="I41" s="30">
        <v>3201.7999999999979</v>
      </c>
      <c r="J41" s="24">
        <f t="shared" si="6"/>
        <v>834825.1300842741</v>
      </c>
      <c r="K41" s="25">
        <f t="shared" si="7"/>
        <v>13.977894684467953</v>
      </c>
      <c r="L41" s="71">
        <f t="shared" si="8"/>
        <v>0.90788947773629958</v>
      </c>
      <c r="M41" s="256">
        <f t="shared" si="4"/>
        <v>2.2276205069799038E-2</v>
      </c>
      <c r="N41" s="71">
        <f t="shared" si="5"/>
        <v>0.40005310328918042</v>
      </c>
      <c r="O41" s="116">
        <f t="shared" si="9"/>
        <v>18.65346641470439</v>
      </c>
      <c r="P41" s="117"/>
    </row>
    <row r="42" spans="1:16" x14ac:dyDescent="0.25">
      <c r="A42" s="69" t="s">
        <v>67</v>
      </c>
      <c r="B42" s="115">
        <v>63</v>
      </c>
      <c r="C42" s="115"/>
      <c r="D42" s="21" t="s">
        <v>18</v>
      </c>
      <c r="E42" s="22" t="s">
        <v>65</v>
      </c>
      <c r="F42" s="24">
        <v>1529969.5456617544</v>
      </c>
      <c r="G42" s="24">
        <v>87901.132146385033</v>
      </c>
      <c r="H42" s="29">
        <v>106166.0778689117</v>
      </c>
      <c r="I42" s="30">
        <v>5469.8799999999965</v>
      </c>
      <c r="J42" s="24">
        <f t="shared" si="6"/>
        <v>1442068.4135153694</v>
      </c>
      <c r="K42" s="25">
        <f t="shared" si="7"/>
        <v>13.583137311486253</v>
      </c>
      <c r="L42" s="71">
        <f t="shared" si="8"/>
        <v>0.88224927416636167</v>
      </c>
      <c r="M42" s="71">
        <f t="shared" si="4"/>
        <v>5.7452863944664562E-2</v>
      </c>
      <c r="N42" s="71">
        <f t="shared" si="5"/>
        <v>1.031782408264635</v>
      </c>
      <c r="O42" s="116">
        <f t="shared" si="9"/>
        <v>19.409215169055219</v>
      </c>
      <c r="P42" s="117"/>
    </row>
    <row r="43" spans="1:16" x14ac:dyDescent="0.25">
      <c r="A43" s="69" t="s">
        <v>67</v>
      </c>
      <c r="B43" s="115">
        <v>64</v>
      </c>
      <c r="C43" s="115"/>
      <c r="D43" s="21" t="s">
        <v>18</v>
      </c>
      <c r="E43" s="22" t="s">
        <v>65</v>
      </c>
      <c r="F43" s="24">
        <v>1425048.0911074036</v>
      </c>
      <c r="G43" s="24">
        <v>71487.782630550893</v>
      </c>
      <c r="H43" s="29">
        <v>89277.629865686962</v>
      </c>
      <c r="I43" s="30">
        <v>4997.2000000000007</v>
      </c>
      <c r="J43" s="24">
        <f t="shared" si="6"/>
        <v>1353560.3084768527</v>
      </c>
      <c r="K43" s="25">
        <f t="shared" si="7"/>
        <v>15.161248237808351</v>
      </c>
      <c r="L43" s="71">
        <f t="shared" si="8"/>
        <v>0.98475042595287299</v>
      </c>
      <c r="M43" s="71">
        <f t="shared" si="4"/>
        <v>5.0165172022368594E-2</v>
      </c>
      <c r="N43" s="71">
        <f t="shared" si="5"/>
        <v>0.90090447101298721</v>
      </c>
      <c r="O43" s="116">
        <f t="shared" si="9"/>
        <v>17.865530670312765</v>
      </c>
      <c r="P43" s="117"/>
    </row>
    <row r="44" spans="1:16" x14ac:dyDescent="0.25">
      <c r="A44" s="69" t="s">
        <v>67</v>
      </c>
      <c r="B44" s="115">
        <v>68</v>
      </c>
      <c r="C44" s="115"/>
      <c r="D44" s="21" t="s">
        <v>18</v>
      </c>
      <c r="E44" s="22" t="s">
        <v>65</v>
      </c>
      <c r="F44" s="24">
        <v>1294073.5577934764</v>
      </c>
      <c r="G44" s="24">
        <v>61684.698932830419</v>
      </c>
      <c r="H44" s="29">
        <v>80072.472584215473</v>
      </c>
      <c r="I44" s="30">
        <v>4801.4900000000007</v>
      </c>
      <c r="J44" s="24">
        <f t="shared" si="6"/>
        <v>1232388.8588606459</v>
      </c>
      <c r="K44" s="25">
        <f t="shared" si="7"/>
        <v>15.390917990755094</v>
      </c>
      <c r="L44" s="71">
        <f t="shared" si="8"/>
        <v>0.9996678907615284</v>
      </c>
      <c r="M44" s="71">
        <f t="shared" si="4"/>
        <v>4.7667073143824172E-2</v>
      </c>
      <c r="N44" s="71">
        <f t="shared" si="5"/>
        <v>0.85604170351944242</v>
      </c>
      <c r="O44" s="116">
        <f t="shared" si="9"/>
        <v>16.676588430719519</v>
      </c>
      <c r="P44" s="117"/>
    </row>
    <row r="45" spans="1:16" x14ac:dyDescent="0.25">
      <c r="A45" s="69" t="s">
        <v>67</v>
      </c>
      <c r="B45" s="115">
        <v>71</v>
      </c>
      <c r="C45" s="115"/>
      <c r="D45" s="21" t="s">
        <v>18</v>
      </c>
      <c r="E45" s="22" t="s">
        <v>65</v>
      </c>
      <c r="F45" s="24">
        <v>652610.07479996793</v>
      </c>
      <c r="G45" s="24">
        <v>15614.814252534217</v>
      </c>
      <c r="H45" s="29">
        <v>21037.383326535917</v>
      </c>
      <c r="I45" s="30">
        <v>2027.7200000000012</v>
      </c>
      <c r="J45" s="24">
        <f t="shared" si="6"/>
        <v>636995.26054743375</v>
      </c>
      <c r="K45" s="252">
        <f t="shared" si="7"/>
        <v>30.279205862258888</v>
      </c>
      <c r="L45" s="71">
        <f t="shared" si="8"/>
        <v>1.9666890484661346</v>
      </c>
      <c r="M45" s="256">
        <f t="shared" si="4"/>
        <v>2.392671344726072E-2</v>
      </c>
      <c r="N45" s="71">
        <f t="shared" si="5"/>
        <v>0.42969419324769964</v>
      </c>
      <c r="O45" s="116">
        <f t="shared" si="9"/>
        <v>10.374895610111803</v>
      </c>
      <c r="P45" s="117"/>
    </row>
    <row r="46" spans="1:16" x14ac:dyDescent="0.25">
      <c r="A46" s="69" t="s">
        <v>67</v>
      </c>
      <c r="B46" s="115">
        <v>74</v>
      </c>
      <c r="C46" s="115"/>
      <c r="D46" s="21" t="s">
        <v>18</v>
      </c>
      <c r="E46" s="22" t="s">
        <v>65</v>
      </c>
      <c r="F46" s="24">
        <v>1038527.542690265</v>
      </c>
      <c r="G46" s="24">
        <v>60282.700474386569</v>
      </c>
      <c r="H46" s="29">
        <v>67955.873116287883</v>
      </c>
      <c r="I46" s="30">
        <v>3617.6400000000021</v>
      </c>
      <c r="J46" s="24">
        <f t="shared" si="6"/>
        <v>978244.84221587842</v>
      </c>
      <c r="K46" s="25">
        <f t="shared" si="7"/>
        <v>14.395295025374482</v>
      </c>
      <c r="L46" s="71">
        <f t="shared" si="8"/>
        <v>0.93500038292387899</v>
      </c>
      <c r="M46" s="71">
        <f t="shared" si="4"/>
        <v>5.8046318461835486E-2</v>
      </c>
      <c r="N46" s="71">
        <f t="shared" si="5"/>
        <v>1.0424401177134082</v>
      </c>
      <c r="O46" s="116">
        <f t="shared" si="9"/>
        <v>18.784586945159784</v>
      </c>
      <c r="P46" s="117"/>
    </row>
    <row r="47" spans="1:16" x14ac:dyDescent="0.25">
      <c r="A47" s="69" t="s">
        <v>67</v>
      </c>
      <c r="B47" s="115">
        <v>2</v>
      </c>
      <c r="C47" s="115"/>
      <c r="D47" s="21" t="s">
        <v>18</v>
      </c>
      <c r="E47" s="22" t="s">
        <v>66</v>
      </c>
      <c r="F47" s="24">
        <v>1065208.6570329661</v>
      </c>
      <c r="G47" s="24">
        <v>82647.61011568793</v>
      </c>
      <c r="H47" s="29">
        <v>96243.216234499865</v>
      </c>
      <c r="I47" s="30">
        <v>3426.6399999999976</v>
      </c>
      <c r="J47" s="24">
        <f t="shared" si="6"/>
        <v>982561.0469172782</v>
      </c>
      <c r="K47" s="25">
        <f t="shared" si="7"/>
        <v>10.20914600903647</v>
      </c>
      <c r="L47" s="71">
        <f t="shared" si="8"/>
        <v>0.63277302660967716</v>
      </c>
      <c r="M47" s="71">
        <f t="shared" si="4"/>
        <v>7.7588188539412281E-2</v>
      </c>
      <c r="N47" s="71">
        <f t="shared" si="5"/>
        <v>1.4003030623837942</v>
      </c>
      <c r="O47" s="116">
        <f t="shared" si="9"/>
        <v>28.086760276685013</v>
      </c>
      <c r="P47" s="117"/>
    </row>
    <row r="48" spans="1:16" x14ac:dyDescent="0.25">
      <c r="A48" s="69" t="s">
        <v>67</v>
      </c>
      <c r="B48" s="115">
        <v>3</v>
      </c>
      <c r="C48" s="115"/>
      <c r="D48" s="21" t="s">
        <v>18</v>
      </c>
      <c r="E48" s="22" t="s">
        <v>66</v>
      </c>
      <c r="F48" s="24">
        <v>1126562.7424930381</v>
      </c>
      <c r="G48" s="24">
        <v>76080.656891231352</v>
      </c>
      <c r="H48" s="29">
        <v>76232.910545118066</v>
      </c>
      <c r="I48" s="30">
        <v>3976.2999999999975</v>
      </c>
      <c r="J48" s="24">
        <f t="shared" si="6"/>
        <v>1050482.0856018066</v>
      </c>
      <c r="K48" s="25">
        <f t="shared" si="7"/>
        <v>13.779902644279652</v>
      </c>
      <c r="L48" s="71">
        <f t="shared" si="8"/>
        <v>0.85409207536943355</v>
      </c>
      <c r="M48" s="71">
        <f t="shared" si="4"/>
        <v>6.7533439569346945E-2</v>
      </c>
      <c r="N48" s="71">
        <f t="shared" si="5"/>
        <v>1.218836062840033</v>
      </c>
      <c r="O48" s="116">
        <f t="shared" si="9"/>
        <v>19.171820673771627</v>
      </c>
      <c r="P48" s="117"/>
    </row>
    <row r="49" spans="1:16" x14ac:dyDescent="0.25">
      <c r="A49" s="69" t="s">
        <v>67</v>
      </c>
      <c r="B49" s="115">
        <v>4</v>
      </c>
      <c r="C49" s="115"/>
      <c r="D49" s="21" t="s">
        <v>18</v>
      </c>
      <c r="E49" s="22" t="s">
        <v>66</v>
      </c>
      <c r="F49" s="24">
        <v>1385055.533825682</v>
      </c>
      <c r="G49" s="24">
        <v>79743.510848197388</v>
      </c>
      <c r="H49" s="29">
        <v>74701.669037393382</v>
      </c>
      <c r="I49" s="30">
        <v>4752.3000000000029</v>
      </c>
      <c r="J49" s="24">
        <f t="shared" si="6"/>
        <v>1305312.0229774846</v>
      </c>
      <c r="K49" s="25">
        <f t="shared" si="7"/>
        <v>17.473666114797048</v>
      </c>
      <c r="L49" s="71">
        <f t="shared" si="8"/>
        <v>1.0830352101576637</v>
      </c>
      <c r="M49" s="71">
        <f t="shared" si="4"/>
        <v>5.7574233596205837E-2</v>
      </c>
      <c r="N49" s="71">
        <f t="shared" si="5"/>
        <v>1.0390934127584888</v>
      </c>
      <c r="O49" s="116">
        <f t="shared" si="9"/>
        <v>15.719055833468706</v>
      </c>
      <c r="P49" s="117"/>
    </row>
    <row r="50" spans="1:16" x14ac:dyDescent="0.25">
      <c r="A50" s="69" t="s">
        <v>67</v>
      </c>
      <c r="B50" s="115">
        <v>6</v>
      </c>
      <c r="C50" s="115"/>
      <c r="D50" s="21" t="s">
        <v>18</v>
      </c>
      <c r="E50" s="22" t="s">
        <v>66</v>
      </c>
      <c r="F50" s="24">
        <v>2114017.6829118771</v>
      </c>
      <c r="G50" s="24">
        <v>109849.05003234479</v>
      </c>
      <c r="H50" s="29">
        <v>113675.41122210033</v>
      </c>
      <c r="I50" s="30">
        <v>7031.5599999999959</v>
      </c>
      <c r="J50" s="24">
        <f t="shared" si="6"/>
        <v>2004168.6328795322</v>
      </c>
      <c r="K50" s="25">
        <f t="shared" si="7"/>
        <v>17.630625755676963</v>
      </c>
      <c r="L50" s="71">
        <f t="shared" si="8"/>
        <v>1.0927637248568598</v>
      </c>
      <c r="M50" s="71">
        <f t="shared" si="4"/>
        <v>5.1962219105488844E-2</v>
      </c>
      <c r="N50" s="71">
        <f t="shared" si="5"/>
        <v>0.93780839469802235</v>
      </c>
      <c r="O50" s="116">
        <f t="shared" si="9"/>
        <v>16.166456834912935</v>
      </c>
      <c r="P50" s="117"/>
    </row>
    <row r="51" spans="1:16" x14ac:dyDescent="0.25">
      <c r="A51" s="69" t="s">
        <v>67</v>
      </c>
      <c r="B51" s="115">
        <v>7</v>
      </c>
      <c r="C51" s="115"/>
      <c r="D51" s="21" t="s">
        <v>18</v>
      </c>
      <c r="E51" s="22" t="s">
        <v>66</v>
      </c>
      <c r="F51" s="24">
        <v>497921.99925300642</v>
      </c>
      <c r="G51" s="24">
        <v>16607.984083044106</v>
      </c>
      <c r="H51" s="29">
        <v>16714.490634660095</v>
      </c>
      <c r="I51" s="30">
        <v>1643.1200000000001</v>
      </c>
      <c r="J51" s="24">
        <f t="shared" si="6"/>
        <v>481314.01516996231</v>
      </c>
      <c r="K51" s="252">
        <f t="shared" si="7"/>
        <v>28.796211963042587</v>
      </c>
      <c r="L51" s="71">
        <f t="shared" si="8"/>
        <v>1.7848178665110477</v>
      </c>
      <c r="M51" s="256">
        <f t="shared" si="4"/>
        <v>3.3354589891508649E-2</v>
      </c>
      <c r="N51" s="71">
        <f t="shared" si="5"/>
        <v>0.60197995660009129</v>
      </c>
      <c r="O51" s="116">
        <f t="shared" si="9"/>
        <v>10.172410191988469</v>
      </c>
      <c r="P51" s="117"/>
    </row>
    <row r="52" spans="1:16" x14ac:dyDescent="0.25">
      <c r="A52" s="69" t="s">
        <v>67</v>
      </c>
      <c r="B52" s="56">
        <v>9</v>
      </c>
      <c r="C52" s="56"/>
      <c r="D52" s="21" t="s">
        <v>18</v>
      </c>
      <c r="E52" s="21" t="s">
        <v>66</v>
      </c>
      <c r="F52" s="24">
        <v>673855.14604899671</v>
      </c>
      <c r="G52" s="24">
        <v>25245.095747327159</v>
      </c>
      <c r="H52" s="28">
        <v>27331.098421551262</v>
      </c>
      <c r="I52" s="30">
        <v>2179.4800000000018</v>
      </c>
      <c r="J52" s="24">
        <f t="shared" si="6"/>
        <v>648610.05030166951</v>
      </c>
      <c r="K52" s="250">
        <f t="shared" si="7"/>
        <v>23.731576400538081</v>
      </c>
      <c r="L52" s="71">
        <f t="shared" si="8"/>
        <v>1.4709067155955518</v>
      </c>
      <c r="M52" s="255">
        <f t="shared" si="4"/>
        <v>3.7463683249057744E-2</v>
      </c>
      <c r="N52" s="71">
        <f t="shared" si="5"/>
        <v>0.67614041994528296</v>
      </c>
      <c r="O52" s="116">
        <f t="shared" si="9"/>
        <v>12.540192349345366</v>
      </c>
      <c r="P52" s="117"/>
    </row>
    <row r="53" spans="1:16" x14ac:dyDescent="0.25">
      <c r="A53" s="69" t="s">
        <v>67</v>
      </c>
      <c r="B53" s="115">
        <v>10</v>
      </c>
      <c r="C53" s="115"/>
      <c r="D53" s="21" t="s">
        <v>18</v>
      </c>
      <c r="E53" s="22" t="s">
        <v>66</v>
      </c>
      <c r="F53" s="24">
        <v>1481423.6428389933</v>
      </c>
      <c r="G53" s="24">
        <v>106371.64312272207</v>
      </c>
      <c r="H53" s="29">
        <v>133019.0539421326</v>
      </c>
      <c r="I53" s="30">
        <v>4823.2099999999955</v>
      </c>
      <c r="J53" s="24">
        <f t="shared" si="6"/>
        <v>1375051.9997162712</v>
      </c>
      <c r="K53" s="25">
        <f t="shared" si="7"/>
        <v>10.33725589654593</v>
      </c>
      <c r="L53" s="71">
        <f t="shared" si="8"/>
        <v>0.64071340489266315</v>
      </c>
      <c r="M53" s="71">
        <f t="shared" si="4"/>
        <v>7.1803662400629673E-2</v>
      </c>
      <c r="N53" s="71">
        <f t="shared" si="5"/>
        <v>1.2959045731413008</v>
      </c>
      <c r="O53" s="116">
        <f t="shared" si="9"/>
        <v>27.578947203653318</v>
      </c>
      <c r="P53" s="117"/>
    </row>
    <row r="54" spans="1:16" x14ac:dyDescent="0.25">
      <c r="A54" s="69" t="s">
        <v>67</v>
      </c>
      <c r="B54" s="115">
        <v>11</v>
      </c>
      <c r="C54" s="115"/>
      <c r="D54" s="21" t="s">
        <v>18</v>
      </c>
      <c r="E54" s="22" t="s">
        <v>66</v>
      </c>
      <c r="F54" s="24">
        <v>1027541.0791616226</v>
      </c>
      <c r="G54" s="24">
        <v>60930.895473573495</v>
      </c>
      <c r="H54" s="29">
        <v>66753.796449679532</v>
      </c>
      <c r="I54" s="30">
        <v>3601.7999999999965</v>
      </c>
      <c r="J54" s="24">
        <f t="shared" si="6"/>
        <v>966610.18368804909</v>
      </c>
      <c r="K54" s="25">
        <f t="shared" si="7"/>
        <v>14.480227868638167</v>
      </c>
      <c r="L54" s="71">
        <f t="shared" si="8"/>
        <v>0.89749892952121024</v>
      </c>
      <c r="M54" s="243">
        <f t="shared" si="4"/>
        <v>5.9297770871883204E-2</v>
      </c>
      <c r="N54" s="71">
        <f t="shared" si="5"/>
        <v>1.0701996232616204</v>
      </c>
      <c r="O54" s="116">
        <f t="shared" si="9"/>
        <v>18.533454508767726</v>
      </c>
      <c r="P54" s="117"/>
    </row>
    <row r="55" spans="1:16" x14ac:dyDescent="0.25">
      <c r="A55" s="69" t="s">
        <v>67</v>
      </c>
      <c r="B55" s="56">
        <v>14</v>
      </c>
      <c r="C55" s="56"/>
      <c r="D55" s="21" t="s">
        <v>18</v>
      </c>
      <c r="E55" s="21" t="s">
        <v>66</v>
      </c>
      <c r="F55" s="24">
        <v>1485258.4031545003</v>
      </c>
      <c r="G55" s="24">
        <v>72631.367420457245</v>
      </c>
      <c r="H55" s="28">
        <v>79448.517711339911</v>
      </c>
      <c r="I55" s="30">
        <v>5141.6999999999989</v>
      </c>
      <c r="J55" s="24">
        <f t="shared" si="6"/>
        <v>1412627.035734043</v>
      </c>
      <c r="K55" s="25">
        <f t="shared" si="7"/>
        <v>17.780407695792853</v>
      </c>
      <c r="L55" s="71">
        <f t="shared" si="8"/>
        <v>1.1020473585216846</v>
      </c>
      <c r="M55" s="243">
        <f t="shared" ref="M55:M73" si="10">G55/F55</f>
        <v>4.8901502436342011E-2</v>
      </c>
      <c r="N55" s="71">
        <f t="shared" si="5"/>
        <v>0.88256891810271143</v>
      </c>
      <c r="O55" s="116">
        <f t="shared" si="9"/>
        <v>15.451799543213321</v>
      </c>
      <c r="P55" s="117"/>
    </row>
    <row r="56" spans="1:16" x14ac:dyDescent="0.25">
      <c r="A56" s="69" t="s">
        <v>67</v>
      </c>
      <c r="B56" s="115">
        <v>17</v>
      </c>
      <c r="C56" s="115"/>
      <c r="D56" s="21" t="s">
        <v>18</v>
      </c>
      <c r="E56" s="22" t="s">
        <v>66</v>
      </c>
      <c r="F56" s="24">
        <v>1241364.3197474803</v>
      </c>
      <c r="G56" s="24">
        <v>77838.78111974457</v>
      </c>
      <c r="H56" s="29">
        <v>87229.724556716377</v>
      </c>
      <c r="I56" s="30">
        <v>4329.149999999996</v>
      </c>
      <c r="J56" s="24">
        <f t="shared" si="6"/>
        <v>1163525.5386277358</v>
      </c>
      <c r="K56" s="25">
        <f t="shared" si="7"/>
        <v>13.338635935634723</v>
      </c>
      <c r="L56" s="71">
        <f t="shared" si="8"/>
        <v>0.82674192575611694</v>
      </c>
      <c r="M56" s="243">
        <f t="shared" si="10"/>
        <v>6.2704219769727731E-2</v>
      </c>
      <c r="N56" s="71">
        <f t="shared" si="5"/>
        <v>1.1316788369576918</v>
      </c>
      <c r="O56" s="116">
        <f t="shared" si="9"/>
        <v>20.149388345683668</v>
      </c>
      <c r="P56" s="117"/>
    </row>
    <row r="57" spans="1:16" x14ac:dyDescent="0.25">
      <c r="A57" s="69" t="s">
        <v>67</v>
      </c>
      <c r="B57" s="115">
        <v>18</v>
      </c>
      <c r="C57" s="115"/>
      <c r="D57" s="21" t="s">
        <v>18</v>
      </c>
      <c r="E57" s="22" t="s">
        <v>66</v>
      </c>
      <c r="F57" s="24">
        <v>2055398.2557028295</v>
      </c>
      <c r="G57" s="24">
        <v>150730.10946818261</v>
      </c>
      <c r="H57" s="29">
        <v>184787.51683390234</v>
      </c>
      <c r="I57" s="30">
        <v>7234.2299999999968</v>
      </c>
      <c r="J57" s="24">
        <f t="shared" si="6"/>
        <v>1904668.1462346469</v>
      </c>
      <c r="K57" s="25">
        <f t="shared" si="7"/>
        <v>10.307342069792909</v>
      </c>
      <c r="L57" s="71">
        <f t="shared" si="8"/>
        <v>0.63885931614956626</v>
      </c>
      <c r="M57" s="243">
        <f t="shared" si="10"/>
        <v>7.3333773175087894E-2</v>
      </c>
      <c r="N57" s="71">
        <f t="shared" si="5"/>
        <v>1.3235198435013233</v>
      </c>
      <c r="O57" s="116">
        <f t="shared" si="9"/>
        <v>25.543494861775532</v>
      </c>
      <c r="P57" s="117"/>
    </row>
    <row r="58" spans="1:16" x14ac:dyDescent="0.25">
      <c r="A58" s="69" t="s">
        <v>67</v>
      </c>
      <c r="B58" s="115">
        <v>21</v>
      </c>
      <c r="C58" s="115"/>
      <c r="D58" s="21" t="s">
        <v>18</v>
      </c>
      <c r="E58" s="22" t="s">
        <v>66</v>
      </c>
      <c r="F58" s="24">
        <v>2425431.8302689227</v>
      </c>
      <c r="G58" s="24">
        <v>194389.19320377053</v>
      </c>
      <c r="H58" s="29">
        <v>257382.9475525071</v>
      </c>
      <c r="I58" s="30">
        <v>8634.36</v>
      </c>
      <c r="J58" s="24">
        <f t="shared" si="6"/>
        <v>2231042.6370651522</v>
      </c>
      <c r="K58" s="25">
        <f t="shared" si="7"/>
        <v>8.6681835695817071</v>
      </c>
      <c r="L58" s="71">
        <f t="shared" si="8"/>
        <v>0.53726264152530823</v>
      </c>
      <c r="M58" s="243">
        <f t="shared" si="10"/>
        <v>8.0146220057736028E-2</v>
      </c>
      <c r="N58" s="71">
        <f t="shared" si="5"/>
        <v>1.4464701328646763</v>
      </c>
      <c r="O58" s="116">
        <f t="shared" si="9"/>
        <v>29.809151755602858</v>
      </c>
      <c r="P58" s="117"/>
    </row>
    <row r="59" spans="1:16" x14ac:dyDescent="0.25">
      <c r="A59" s="69" t="s">
        <v>67</v>
      </c>
      <c r="B59" s="115">
        <v>22</v>
      </c>
      <c r="C59" s="115"/>
      <c r="D59" s="21" t="s">
        <v>18</v>
      </c>
      <c r="E59" s="22" t="s">
        <v>66</v>
      </c>
      <c r="F59" s="24">
        <v>1394632.0366743281</v>
      </c>
      <c r="G59" s="24">
        <v>64281.74723149059</v>
      </c>
      <c r="H59" s="29">
        <v>70868.356963633618</v>
      </c>
      <c r="I59" s="30">
        <v>5159.0999999999949</v>
      </c>
      <c r="J59" s="24">
        <f t="shared" si="6"/>
        <v>1330350.2894428375</v>
      </c>
      <c r="K59" s="25">
        <f t="shared" si="7"/>
        <v>18.77213394583865</v>
      </c>
      <c r="L59" s="71">
        <f t="shared" si="8"/>
        <v>1.1635155381573061</v>
      </c>
      <c r="M59" s="243">
        <f t="shared" si="10"/>
        <v>4.609226343658241E-2</v>
      </c>
      <c r="N59" s="71">
        <f t="shared" si="5"/>
        <v>0.83186808272577617</v>
      </c>
      <c r="O59" s="116">
        <f t="shared" si="9"/>
        <v>13.736573620134072</v>
      </c>
      <c r="P59" s="118"/>
    </row>
    <row r="60" spans="1:16" x14ac:dyDescent="0.25">
      <c r="A60" s="69" t="s">
        <v>67</v>
      </c>
      <c r="B60" s="115">
        <v>54</v>
      </c>
      <c r="C60" s="115"/>
      <c r="D60" s="21" t="s">
        <v>18</v>
      </c>
      <c r="E60" s="22" t="s">
        <v>66</v>
      </c>
      <c r="F60" s="24">
        <v>1120588.0861012549</v>
      </c>
      <c r="G60" s="24">
        <v>97517.104159016293</v>
      </c>
      <c r="H60" s="29">
        <v>99614.030873273397</v>
      </c>
      <c r="I60" s="30">
        <v>3845.4000000000042</v>
      </c>
      <c r="J60" s="24">
        <f t="shared" si="6"/>
        <v>1023070.9819422386</v>
      </c>
      <c r="K60" s="25">
        <f t="shared" si="7"/>
        <v>10.270350200402644</v>
      </c>
      <c r="L60" s="71">
        <f t="shared" si="8"/>
        <v>0.63656652328194452</v>
      </c>
      <c r="M60" s="243">
        <f t="shared" si="10"/>
        <v>8.7023149155812787E-2</v>
      </c>
      <c r="N60" s="71">
        <f t="shared" si="5"/>
        <v>1.5705841901343791</v>
      </c>
      <c r="O60" s="116">
        <f t="shared" si="9"/>
        <v>25.904725353220286</v>
      </c>
      <c r="P60" s="117"/>
    </row>
    <row r="61" spans="1:16" x14ac:dyDescent="0.25">
      <c r="A61" s="69" t="s">
        <v>67</v>
      </c>
      <c r="B61" s="115">
        <v>62</v>
      </c>
      <c r="C61" s="115"/>
      <c r="D61" s="21" t="s">
        <v>18</v>
      </c>
      <c r="E61" s="22" t="s">
        <v>66</v>
      </c>
      <c r="F61" s="24">
        <v>607491.33304008876</v>
      </c>
      <c r="G61" s="24">
        <v>15222.632002059008</v>
      </c>
      <c r="H61" s="29">
        <v>49822.640349980829</v>
      </c>
      <c r="I61" s="30">
        <v>2064.0399999999981</v>
      </c>
      <c r="J61" s="24">
        <f t="shared" si="6"/>
        <v>592268.70103802974</v>
      </c>
      <c r="K61" s="25">
        <f t="shared" si="7"/>
        <v>11.887541424493325</v>
      </c>
      <c r="L61" s="71">
        <f t="shared" si="8"/>
        <v>0.73680164427724593</v>
      </c>
      <c r="M61" s="260">
        <f t="shared" si="10"/>
        <v>2.50581879512254E-2</v>
      </c>
      <c r="N61" s="71">
        <f t="shared" si="5"/>
        <v>0.45224741015915743</v>
      </c>
      <c r="O61" s="116">
        <f t="shared" si="9"/>
        <v>24.138408339945386</v>
      </c>
      <c r="P61" s="117"/>
    </row>
    <row r="62" spans="1:16" x14ac:dyDescent="0.25">
      <c r="A62" s="69" t="s">
        <v>67</v>
      </c>
      <c r="B62" s="115">
        <v>63</v>
      </c>
      <c r="C62" s="115"/>
      <c r="D62" s="21" t="s">
        <v>18</v>
      </c>
      <c r="E62" s="22" t="s">
        <v>66</v>
      </c>
      <c r="F62" s="24">
        <v>1365613.4653931069</v>
      </c>
      <c r="G62" s="24">
        <v>76807.623402213445</v>
      </c>
      <c r="H62" s="29">
        <v>84237.032820870794</v>
      </c>
      <c r="I62" s="30">
        <v>4641.7400000000034</v>
      </c>
      <c r="J62" s="24">
        <f t="shared" si="6"/>
        <v>1288805.8419908935</v>
      </c>
      <c r="K62" s="25">
        <f t="shared" si="7"/>
        <v>15.29975355057349</v>
      </c>
      <c r="L62" s="71">
        <f t="shared" si="8"/>
        <v>0.948293946624851</v>
      </c>
      <c r="M62" s="243">
        <f t="shared" si="10"/>
        <v>5.624404368340314E-2</v>
      </c>
      <c r="N62" s="71">
        <f t="shared" si="5"/>
        <v>1.0150862920418673</v>
      </c>
      <c r="O62" s="116">
        <f t="shared" si="9"/>
        <v>18.147727537705844</v>
      </c>
      <c r="P62" s="117"/>
    </row>
    <row r="63" spans="1:16" x14ac:dyDescent="0.25">
      <c r="A63" s="69" t="s">
        <v>67</v>
      </c>
      <c r="B63" s="56">
        <v>64</v>
      </c>
      <c r="C63" s="56"/>
      <c r="D63" s="21" t="s">
        <v>18</v>
      </c>
      <c r="E63" s="22" t="s">
        <v>66</v>
      </c>
      <c r="F63" s="24">
        <v>1135010.0290448747</v>
      </c>
      <c r="G63" s="24">
        <v>83339.267099098885</v>
      </c>
      <c r="H63" s="28">
        <v>100455.69287207718</v>
      </c>
      <c r="I63" s="30">
        <v>4080.2999999999965</v>
      </c>
      <c r="J63" s="24">
        <f t="shared" si="6"/>
        <v>1051670.7619457757</v>
      </c>
      <c r="K63" s="25">
        <f t="shared" si="7"/>
        <v>10.469001127541869</v>
      </c>
      <c r="L63" s="71">
        <f t="shared" si="8"/>
        <v>0.64887910538170523</v>
      </c>
      <c r="M63" s="243">
        <f t="shared" si="10"/>
        <v>7.3426018243406999E-2</v>
      </c>
      <c r="N63" s="71">
        <f t="shared" si="5"/>
        <v>1.3251846723121086</v>
      </c>
      <c r="O63" s="116">
        <f t="shared" si="9"/>
        <v>24.619683080184611</v>
      </c>
      <c r="P63" s="117"/>
    </row>
    <row r="64" spans="1:16" x14ac:dyDescent="0.25">
      <c r="A64" s="69" t="s">
        <v>67</v>
      </c>
      <c r="B64" s="115">
        <v>68</v>
      </c>
      <c r="C64" s="115"/>
      <c r="D64" s="21" t="s">
        <v>18</v>
      </c>
      <c r="E64" s="22" t="s">
        <v>66</v>
      </c>
      <c r="F64" s="24">
        <v>1187719.2670908684</v>
      </c>
      <c r="G64" s="24">
        <v>58154.578494588357</v>
      </c>
      <c r="H64" s="29">
        <v>72818.346148980971</v>
      </c>
      <c r="I64" s="30">
        <v>4130.4000000000042</v>
      </c>
      <c r="J64" s="24">
        <f t="shared" si="6"/>
        <v>1129564.6885962801</v>
      </c>
      <c r="K64" s="25">
        <f t="shared" si="7"/>
        <v>15.512089306248098</v>
      </c>
      <c r="L64" s="71">
        <f t="shared" si="8"/>
        <v>0.96145472801212351</v>
      </c>
      <c r="M64" s="243">
        <f t="shared" si="10"/>
        <v>4.8963235762798436E-2</v>
      </c>
      <c r="N64" s="71">
        <f t="shared" si="5"/>
        <v>0.88368307436432025</v>
      </c>
      <c r="O64" s="116">
        <f t="shared" si="9"/>
        <v>17.629853319044379</v>
      </c>
      <c r="P64" s="117"/>
    </row>
    <row r="65" spans="1:16" x14ac:dyDescent="0.25">
      <c r="A65" s="69" t="s">
        <v>67</v>
      </c>
      <c r="B65" s="115">
        <v>71</v>
      </c>
      <c r="C65" s="115"/>
      <c r="D65" s="21" t="s">
        <v>18</v>
      </c>
      <c r="E65" s="22" t="s">
        <v>66</v>
      </c>
      <c r="F65" s="24">
        <v>197764.6618676724</v>
      </c>
      <c r="G65" s="24">
        <v>8709.1926128303858</v>
      </c>
      <c r="H65" s="29">
        <v>9224.9488383740372</v>
      </c>
      <c r="I65" s="30">
        <v>675.71000000000038</v>
      </c>
      <c r="J65" s="24">
        <f t="shared" si="6"/>
        <v>189055.46925484203</v>
      </c>
      <c r="K65" s="251">
        <f t="shared" si="7"/>
        <v>20.493931464249119</v>
      </c>
      <c r="L65" s="71">
        <f t="shared" si="8"/>
        <v>1.2702342613462256</v>
      </c>
      <c r="M65" s="261">
        <f t="shared" si="10"/>
        <v>4.403816400049191E-2</v>
      </c>
      <c r="N65" s="71">
        <f t="shared" si="5"/>
        <v>0.79479592283977429</v>
      </c>
      <c r="O65" s="116">
        <f t="shared" si="9"/>
        <v>13.652230747471595</v>
      </c>
      <c r="P65" s="117"/>
    </row>
    <row r="66" spans="1:16" x14ac:dyDescent="0.25">
      <c r="A66" s="69" t="s">
        <v>67</v>
      </c>
      <c r="B66" s="115">
        <v>74</v>
      </c>
      <c r="C66" s="115"/>
      <c r="D66" s="21" t="s">
        <v>18</v>
      </c>
      <c r="E66" s="22" t="s">
        <v>66</v>
      </c>
      <c r="F66" s="24">
        <v>1182281.144409172</v>
      </c>
      <c r="G66" s="24">
        <v>56709.662260414341</v>
      </c>
      <c r="H66" s="29">
        <v>63346.523679769693</v>
      </c>
      <c r="I66" s="30">
        <v>4025.2000000000035</v>
      </c>
      <c r="J66" s="24">
        <f t="shared" si="6"/>
        <v>1125571.4821487577</v>
      </c>
      <c r="K66" s="25">
        <f t="shared" si="7"/>
        <v>17.768480679993804</v>
      </c>
      <c r="L66" s="71">
        <f t="shared" si="8"/>
        <v>1.1013081102163997</v>
      </c>
      <c r="M66" s="243">
        <f t="shared" si="10"/>
        <v>4.7966308630215178E-2</v>
      </c>
      <c r="N66" s="71">
        <f t="shared" si="5"/>
        <v>0.86569064351873215</v>
      </c>
      <c r="O66" s="116">
        <f t="shared" si="9"/>
        <v>15.737484765917131</v>
      </c>
      <c r="P66" s="117"/>
    </row>
    <row r="67" spans="1:16" x14ac:dyDescent="0.25">
      <c r="A67" s="69" t="s">
        <v>68</v>
      </c>
      <c r="B67" s="115">
        <v>67</v>
      </c>
      <c r="C67" s="115"/>
      <c r="D67" s="21" t="s">
        <v>18</v>
      </c>
      <c r="E67" s="22" t="s">
        <v>33</v>
      </c>
      <c r="F67" s="24">
        <v>997829.27222063602</v>
      </c>
      <c r="G67" s="24">
        <v>93727.935133503663</v>
      </c>
      <c r="H67" s="29">
        <v>81918</v>
      </c>
      <c r="I67" s="30">
        <v>9293.58</v>
      </c>
      <c r="J67" s="24">
        <f t="shared" si="6"/>
        <v>904101.33708713239</v>
      </c>
      <c r="K67" s="25">
        <f t="shared" si="7"/>
        <v>11.036662724762962</v>
      </c>
      <c r="L67" s="71">
        <f t="shared" si="8"/>
        <v>0.88142580343389432</v>
      </c>
      <c r="M67" s="243">
        <f t="shared" si="10"/>
        <v>9.3931835578360254E-2</v>
      </c>
      <c r="N67" s="71">
        <f t="shared" si="5"/>
        <v>1.0741706272294214</v>
      </c>
      <c r="O67" s="116">
        <f t="shared" si="9"/>
        <v>8.8144719257810227</v>
      </c>
      <c r="P67" s="117"/>
    </row>
    <row r="68" spans="1:16" x14ac:dyDescent="0.25">
      <c r="A68" s="69" t="s">
        <v>68</v>
      </c>
      <c r="B68" s="115">
        <v>70</v>
      </c>
      <c r="C68" s="115"/>
      <c r="D68" s="21" t="s">
        <v>18</v>
      </c>
      <c r="E68" s="22" t="s">
        <v>33</v>
      </c>
      <c r="F68" s="24">
        <v>392155.04986938363</v>
      </c>
      <c r="G68" s="24">
        <v>30402.286844647162</v>
      </c>
      <c r="H68" s="29">
        <v>28432</v>
      </c>
      <c r="I68" s="30">
        <v>3445.86</v>
      </c>
      <c r="J68" s="24">
        <f t="shared" ref="J68:J73" si="11">F68-G68</f>
        <v>361752.76302473649</v>
      </c>
      <c r="K68" s="25">
        <f t="shared" ref="K68:K73" si="12">J68/H68</f>
        <v>12.723437078810372</v>
      </c>
      <c r="L68" s="71">
        <f t="shared" ref="L68:L73" si="13">+IF(E68="Weekdays",K68/$G$77,IF(E68="Saturdays",K68/$G$78,IF(E68="Sundays",K68/$G$79,"NA")))</f>
        <v>1.0161373985333866</v>
      </c>
      <c r="M68" s="243">
        <f t="shared" si="10"/>
        <v>7.7526189844484603E-2</v>
      </c>
      <c r="N68" s="71">
        <f t="shared" si="5"/>
        <v>0.88656157371146038</v>
      </c>
      <c r="O68" s="116">
        <f t="shared" ref="O68:O73" si="14">H68/I68</f>
        <v>8.2510606931216</v>
      </c>
      <c r="P68" s="117"/>
    </row>
    <row r="69" spans="1:16" x14ac:dyDescent="0.25">
      <c r="A69" s="69" t="s">
        <v>68</v>
      </c>
      <c r="B69" s="115">
        <v>75</v>
      </c>
      <c r="C69" s="115"/>
      <c r="D69" s="21" t="s">
        <v>18</v>
      </c>
      <c r="E69" s="22" t="s">
        <v>33</v>
      </c>
      <c r="F69" s="24">
        <v>604590.07605102239</v>
      </c>
      <c r="G69" s="24">
        <v>63867.670217654799</v>
      </c>
      <c r="H69" s="29">
        <v>67894</v>
      </c>
      <c r="I69" s="30">
        <v>5520.07</v>
      </c>
      <c r="J69" s="24">
        <f t="shared" si="11"/>
        <v>540722.40583336761</v>
      </c>
      <c r="K69" s="25">
        <f t="shared" si="12"/>
        <v>7.9642148913507471</v>
      </c>
      <c r="L69" s="71">
        <f t="shared" si="13"/>
        <v>0.63604956356766673</v>
      </c>
      <c r="M69" s="243">
        <f t="shared" si="10"/>
        <v>0.10563797314507177</v>
      </c>
      <c r="N69" s="71">
        <f t="shared" ref="N69:N73" si="15">+IF(E69="Weekdays",M69/$G$83,IF(E69="Saturdays",M69/$G$84,IF(E69="Sundays",M69/$G$85,"NA")))</f>
        <v>1.208037798620728</v>
      </c>
      <c r="O69" s="116">
        <f t="shared" si="14"/>
        <v>12.299481709471076</v>
      </c>
      <c r="P69" s="117"/>
    </row>
    <row r="70" spans="1:16" x14ac:dyDescent="0.25">
      <c r="A70" s="69" t="s">
        <v>68</v>
      </c>
      <c r="B70" s="115">
        <v>67</v>
      </c>
      <c r="C70" s="115"/>
      <c r="D70" s="21" t="s">
        <v>18</v>
      </c>
      <c r="E70" s="22" t="s">
        <v>65</v>
      </c>
      <c r="F70" s="24">
        <v>164766.51149946076</v>
      </c>
      <c r="G70" s="24">
        <v>8181.8194256762117</v>
      </c>
      <c r="H70" s="29">
        <v>8905</v>
      </c>
      <c r="I70" s="30">
        <v>1401.8</v>
      </c>
      <c r="J70" s="24">
        <f t="shared" si="11"/>
        <v>156584.69207378454</v>
      </c>
      <c r="K70" s="25">
        <f t="shared" si="12"/>
        <v>17.583907026814657</v>
      </c>
      <c r="L70" s="71">
        <f t="shared" si="13"/>
        <v>1.1421064850973344</v>
      </c>
      <c r="M70" s="243">
        <f t="shared" si="10"/>
        <v>4.9657053191315449E-2</v>
      </c>
      <c r="N70" s="71">
        <f t="shared" si="15"/>
        <v>0.89177928498755998</v>
      </c>
      <c r="O70" s="116">
        <f t="shared" si="14"/>
        <v>6.3525467256384651</v>
      </c>
      <c r="P70" s="117"/>
    </row>
    <row r="71" spans="1:16" x14ac:dyDescent="0.25">
      <c r="A71" s="69" t="s">
        <v>68</v>
      </c>
      <c r="B71" s="115">
        <v>70</v>
      </c>
      <c r="C71" s="115"/>
      <c r="D71" s="21" t="s">
        <v>18</v>
      </c>
      <c r="E71" s="22" t="s">
        <v>65</v>
      </c>
      <c r="F71" s="24">
        <v>47959.953924145972</v>
      </c>
      <c r="G71" s="24">
        <v>2329.2139243953998</v>
      </c>
      <c r="H71" s="29">
        <v>2413</v>
      </c>
      <c r="I71" s="30">
        <v>417.64</v>
      </c>
      <c r="J71" s="24">
        <f t="shared" si="11"/>
        <v>45630.739999750571</v>
      </c>
      <c r="K71" s="251">
        <f t="shared" si="12"/>
        <v>18.910377123808775</v>
      </c>
      <c r="L71" s="71">
        <f t="shared" si="13"/>
        <v>1.2282631110254862</v>
      </c>
      <c r="M71" s="243">
        <f t="shared" si="10"/>
        <v>4.8565808217399704E-2</v>
      </c>
      <c r="N71" s="71">
        <f t="shared" si="15"/>
        <v>0.87218187434711048</v>
      </c>
      <c r="O71" s="116">
        <f t="shared" si="14"/>
        <v>5.7777032851259458</v>
      </c>
      <c r="P71" s="117"/>
    </row>
    <row r="72" spans="1:16" x14ac:dyDescent="0.25">
      <c r="A72" s="69" t="s">
        <v>68</v>
      </c>
      <c r="B72" s="115">
        <v>67</v>
      </c>
      <c r="C72" s="115"/>
      <c r="D72" s="21" t="s">
        <v>18</v>
      </c>
      <c r="E72" s="22" t="s">
        <v>66</v>
      </c>
      <c r="F72" s="24">
        <v>157791.42167964956</v>
      </c>
      <c r="G72" s="24">
        <v>5454.4914297661317</v>
      </c>
      <c r="H72" s="29">
        <v>6472</v>
      </c>
      <c r="I72" s="30">
        <v>1345.17</v>
      </c>
      <c r="J72" s="24">
        <f t="shared" si="11"/>
        <v>152336.93024988341</v>
      </c>
      <c r="K72" s="250">
        <f t="shared" si="12"/>
        <v>23.537844599796571</v>
      </c>
      <c r="L72" s="71">
        <f t="shared" si="13"/>
        <v>1.4588990258439074</v>
      </c>
      <c r="M72" s="260">
        <f t="shared" si="10"/>
        <v>3.4567731069943201E-2</v>
      </c>
      <c r="N72" s="71">
        <f t="shared" si="15"/>
        <v>0.62387459467896422</v>
      </c>
      <c r="O72" s="116">
        <f t="shared" si="14"/>
        <v>4.8112877926210071</v>
      </c>
      <c r="P72" s="117"/>
    </row>
    <row r="73" spans="1:16" ht="15.75" thickBot="1" x14ac:dyDescent="0.3">
      <c r="A73" s="73" t="s">
        <v>68</v>
      </c>
      <c r="B73" s="119">
        <v>70</v>
      </c>
      <c r="C73" s="119"/>
      <c r="D73" s="75" t="s">
        <v>18</v>
      </c>
      <c r="E73" s="120" t="s">
        <v>66</v>
      </c>
      <c r="F73" s="121">
        <v>51177.683773530167</v>
      </c>
      <c r="G73" s="121">
        <v>1736.7905414213672</v>
      </c>
      <c r="H73" s="122">
        <v>2026</v>
      </c>
      <c r="I73" s="123">
        <v>443.67999999999995</v>
      </c>
      <c r="J73" s="121">
        <f t="shared" si="11"/>
        <v>49440.8932321088</v>
      </c>
      <c r="K73" s="259">
        <f t="shared" si="12"/>
        <v>24.403204951682525</v>
      </c>
      <c r="L73" s="79">
        <f t="shared" si="13"/>
        <v>1.5125349213915087</v>
      </c>
      <c r="M73" s="273">
        <f t="shared" si="10"/>
        <v>3.3936481946055953E-2</v>
      </c>
      <c r="N73" s="79">
        <f t="shared" si="15"/>
        <v>0.61248188016988159</v>
      </c>
      <c r="O73" s="124">
        <f t="shared" si="14"/>
        <v>4.5663541291020557</v>
      </c>
      <c r="P73" s="125"/>
    </row>
    <row r="74" spans="1:16" ht="15.75" thickTop="1" x14ac:dyDescent="0.25">
      <c r="A74" s="21"/>
      <c r="B74" s="56"/>
      <c r="C74" s="56"/>
      <c r="D74" s="21"/>
      <c r="E74" s="21"/>
      <c r="F74" s="24"/>
      <c r="G74" s="21"/>
      <c r="H74" s="24"/>
      <c r="I74" s="24"/>
      <c r="J74" s="25"/>
      <c r="K74" s="21"/>
      <c r="L74" s="21"/>
      <c r="O74" s="21"/>
      <c r="P74" s="21"/>
    </row>
    <row r="75" spans="1:16" ht="15.75" thickBot="1" x14ac:dyDescent="0.3">
      <c r="A75" s="21"/>
      <c r="B75" s="56"/>
      <c r="C75" s="56"/>
      <c r="D75" s="21"/>
      <c r="E75" s="268" t="s">
        <v>113</v>
      </c>
      <c r="F75" s="268"/>
      <c r="G75" s="268"/>
      <c r="H75" s="268"/>
      <c r="I75" s="268"/>
      <c r="J75" s="268"/>
      <c r="K75" s="268"/>
      <c r="L75" s="21"/>
      <c r="O75" s="21"/>
      <c r="P75" s="21"/>
    </row>
    <row r="76" spans="1:16" ht="36" x14ac:dyDescent="0.25">
      <c r="A76" s="21"/>
      <c r="B76" s="56"/>
      <c r="C76" s="56"/>
      <c r="D76" s="21"/>
      <c r="E76" s="82" t="s">
        <v>63</v>
      </c>
      <c r="F76" s="126" t="s">
        <v>44</v>
      </c>
      <c r="G76" s="127" t="s">
        <v>45</v>
      </c>
      <c r="H76" s="127" t="s">
        <v>46</v>
      </c>
      <c r="I76" s="127" t="s">
        <v>47</v>
      </c>
      <c r="J76" s="128" t="s">
        <v>48</v>
      </c>
      <c r="K76" s="85" t="s">
        <v>62</v>
      </c>
      <c r="L76" s="21"/>
      <c r="O76" s="21"/>
      <c r="P76" s="21"/>
    </row>
    <row r="77" spans="1:16" x14ac:dyDescent="0.25">
      <c r="A77" s="21"/>
      <c r="B77" s="56"/>
      <c r="C77" s="56"/>
      <c r="D77" s="21"/>
      <c r="E77" s="86">
        <f>COUNTIF(E4:E73, "Weekdays")</f>
        <v>25</v>
      </c>
      <c r="F77" s="93" t="s">
        <v>33</v>
      </c>
      <c r="G77" s="94">
        <f>AVERAGEIF($E$4:$E$73,"Weekdays",K4:K73)</f>
        <v>12.521374665645009</v>
      </c>
      <c r="H77" s="95">
        <f>G77*1.2</f>
        <v>15.02564959877401</v>
      </c>
      <c r="I77" s="96">
        <f>G77*1.35</f>
        <v>16.903855798620764</v>
      </c>
      <c r="J77" s="97">
        <f>G77*1.6</f>
        <v>20.034199465032017</v>
      </c>
      <c r="K77" s="92">
        <f>+SUMIF($E$4:$E$73,"Weekdays",$J$4:$J$73)/SUMIF($E$4:$E$64,"Weekdays",$H$4:$H$73)</f>
        <v>10.850440459911603</v>
      </c>
      <c r="L77" s="21"/>
      <c r="O77" s="21"/>
      <c r="P77" s="21"/>
    </row>
    <row r="78" spans="1:16" x14ac:dyDescent="0.25">
      <c r="A78" s="21"/>
      <c r="B78" s="56"/>
      <c r="C78" s="56"/>
      <c r="D78" s="21"/>
      <c r="E78" s="86">
        <f>COUNTIF(E4:E73, "Saturdays")</f>
        <v>23</v>
      </c>
      <c r="F78" s="93" t="s">
        <v>65</v>
      </c>
      <c r="G78" s="94">
        <f>AVERAGEIF($E$4:$E$73,"Saturdays",K4:K73)</f>
        <v>15.396031154937445</v>
      </c>
      <c r="H78" s="95">
        <f>G78*1.2</f>
        <v>18.475237385924935</v>
      </c>
      <c r="I78" s="96">
        <f>G78*1.35</f>
        <v>20.784642059165552</v>
      </c>
      <c r="J78" s="97">
        <f>G78*1.6</f>
        <v>24.633649847899914</v>
      </c>
      <c r="K78" s="92">
        <f>+SUMIF($E$4:$E$73,"Saturdays",$J$4:$J$73)/SUMIF($E$4:$E$73,"Saturdays",$H$4:$H$73)</f>
        <v>12.872615580098209</v>
      </c>
      <c r="L78" s="21"/>
      <c r="O78" s="21"/>
      <c r="P78" s="21"/>
    </row>
    <row r="79" spans="1:16" ht="15.75" thickBot="1" x14ac:dyDescent="0.3">
      <c r="A79" s="21"/>
      <c r="B79" s="56"/>
      <c r="C79" s="56"/>
      <c r="D79" s="21"/>
      <c r="E79" s="98">
        <f>COUNTIF(E4:E73, "Sundays")</f>
        <v>22</v>
      </c>
      <c r="F79" s="93" t="s">
        <v>66</v>
      </c>
      <c r="G79" s="129">
        <f>AVERAGEIF($E$4:$E$73,"Sundays",K4:K73)</f>
        <v>16.133977871553508</v>
      </c>
      <c r="H79" s="95">
        <f>G79*1.2</f>
        <v>19.360773445864208</v>
      </c>
      <c r="I79" s="96">
        <f>G79*1.35</f>
        <v>21.780870126597236</v>
      </c>
      <c r="J79" s="97">
        <f>G79*1.6</f>
        <v>25.814364594485614</v>
      </c>
      <c r="K79" s="108">
        <f>+SUMIF($E$4:$E$73,"Sundays",$J$4:$J$73)/SUMIF($E$4:$E$73,"Sundays",$H$4:$H$73)</f>
        <v>13.235178857598344</v>
      </c>
      <c r="L79" s="21"/>
      <c r="O79" s="21"/>
      <c r="P79" s="21"/>
    </row>
    <row r="80" spans="1:16" ht="15.75" thickBot="1" x14ac:dyDescent="0.3">
      <c r="A80" s="21"/>
      <c r="B80" s="56"/>
      <c r="C80" s="56"/>
      <c r="D80" s="21"/>
      <c r="E80" s="56"/>
      <c r="F80" s="104" t="s">
        <v>102</v>
      </c>
      <c r="G80" s="105">
        <v>20</v>
      </c>
      <c r="H80" s="106"/>
      <c r="I80" s="106"/>
      <c r="J80" s="107"/>
      <c r="K80" s="108">
        <f>+SUM($J$4:$J$73)/SUM($H$4:$H$73)</f>
        <v>11.188074778744488</v>
      </c>
      <c r="L80" s="21"/>
      <c r="O80" s="21"/>
      <c r="P80" s="21"/>
    </row>
    <row r="81" spans="5:11" ht="15.75" thickBot="1" x14ac:dyDescent="0.3">
      <c r="E81" s="267" t="s">
        <v>112</v>
      </c>
      <c r="F81" s="267"/>
      <c r="G81" s="267"/>
      <c r="H81" s="267"/>
      <c r="I81" s="267"/>
      <c r="J81" s="267"/>
      <c r="K81" s="267"/>
    </row>
    <row r="82" spans="5:11" ht="36" x14ac:dyDescent="0.25">
      <c r="E82" s="82" t="s">
        <v>63</v>
      </c>
      <c r="F82" s="82" t="s">
        <v>44</v>
      </c>
      <c r="G82" s="83" t="s">
        <v>45</v>
      </c>
      <c r="H82" s="83" t="s">
        <v>46</v>
      </c>
      <c r="I82" s="83" t="s">
        <v>47</v>
      </c>
      <c r="J82" s="84" t="s">
        <v>48</v>
      </c>
      <c r="K82" s="85" t="s">
        <v>62</v>
      </c>
    </row>
    <row r="83" spans="5:11" x14ac:dyDescent="0.25">
      <c r="E83" s="86">
        <f>COUNTIF(E4:E73, "Weekdays")</f>
        <v>25</v>
      </c>
      <c r="F83" s="87" t="s">
        <v>33</v>
      </c>
      <c r="G83" s="229">
        <f>AVERAGEIF($E$4:$E$73,"Weekdays",$M$4:$M$73)</f>
        <v>8.7445917061273637E-2</v>
      </c>
      <c r="H83" s="230">
        <f>G83*0.8</f>
        <v>6.9956733649018915E-2</v>
      </c>
      <c r="I83" s="231">
        <f>G83*0.65</f>
        <v>5.6839846089827867E-2</v>
      </c>
      <c r="J83" s="232">
        <f>G83*0.4</f>
        <v>3.4978366824509458E-2</v>
      </c>
      <c r="K83" s="237">
        <f>+SUMIF($E$4:$E$73,"Weekdays",$G$4:$G$73)/SUMIF($E$4:$E$73,"Weekdays",$F$4:$F$73)</f>
        <v>9.2374159985977436E-2</v>
      </c>
    </row>
    <row r="84" spans="5:11" x14ac:dyDescent="0.25">
      <c r="E84" s="86">
        <f>COUNTIF(E22:E73, "Saturdays")</f>
        <v>23</v>
      </c>
      <c r="F84" s="93" t="s">
        <v>65</v>
      </c>
      <c r="G84" s="233">
        <f>AVERAGEIF($E$4:$E$73,"Saturdays",$M$4:$M$73)</f>
        <v>5.5683120282400536E-2</v>
      </c>
      <c r="H84" s="234">
        <f>G84*0.8</f>
        <v>4.4546496225920433E-2</v>
      </c>
      <c r="I84" s="235">
        <f>G84*0.65</f>
        <v>3.6194028183560351E-2</v>
      </c>
      <c r="J84" s="236">
        <f>G84*0.4</f>
        <v>2.2273248112960217E-2</v>
      </c>
      <c r="K84" s="237">
        <f>+SUMIF($E$4:$E$73,"Saturdays",$G$4:$G$73)/SUMIF($E$4:$E$73,"Saturdays",$F$4:$F$73)</f>
        <v>6.0562097252499392E-2</v>
      </c>
    </row>
    <row r="85" spans="5:11" ht="15.75" thickBot="1" x14ac:dyDescent="0.3">
      <c r="E85" s="98">
        <f>COUNTIF(E22:E73, "Sundays")</f>
        <v>22</v>
      </c>
      <c r="F85" s="99" t="s">
        <v>66</v>
      </c>
      <c r="G85" s="244">
        <f>AVERAGEIF($E$4:$E$73,"Sundays",$M$4:$M$73)</f>
        <v>5.5408140297380108E-2</v>
      </c>
      <c r="H85" s="245">
        <f>G85*0.8</f>
        <v>4.4326512237904091E-2</v>
      </c>
      <c r="I85" s="246">
        <f>G85*0.65</f>
        <v>3.6015291193297071E-2</v>
      </c>
      <c r="J85" s="247">
        <f>G85*0.4</f>
        <v>2.2163256118952045E-2</v>
      </c>
      <c r="K85" s="237">
        <f>+SUMIF($E$4:$E$73,"Sundays",$G$4:$G$73)/SUMIF($E$4:$E$73,"Sundays",$F$4:$F$73)</f>
        <v>6.0890843703978972E-2</v>
      </c>
    </row>
    <row r="86" spans="5:11" ht="15.75" thickBot="1" x14ac:dyDescent="0.3">
      <c r="E86" s="56"/>
      <c r="F86" s="145" t="s">
        <v>115</v>
      </c>
      <c r="G86" s="239">
        <f>AVERAGE(M4:M73)</f>
        <v>6.6940553993848809E-2</v>
      </c>
      <c r="H86" s="240">
        <f>G86*0.8</f>
        <v>5.3552443195079048E-2</v>
      </c>
      <c r="I86" s="241">
        <f>G86*0.65</f>
        <v>4.3511360096001726E-2</v>
      </c>
      <c r="J86" s="242">
        <f>G86*0.4</f>
        <v>2.6776221597539524E-2</v>
      </c>
      <c r="K86" s="238">
        <f>+SUM($G$4:$G$73)/SUM($F$4:$F$73)</f>
        <v>8.5194977870566985E-2</v>
      </c>
    </row>
  </sheetData>
  <autoFilter ref="A3:P73" xr:uid="{C9060C47-4874-4271-BE45-136EFC5E64B8}"/>
  <sortState xmlns:xlrd2="http://schemas.microsoft.com/office/spreadsheetml/2017/richdata2" ref="A4:P73">
    <sortCondition ref="E4:E73" customList="Weekday,Wk,Saturday,Sat,Sunday,Sun,Sunday/Holiday,Sunday / Holiday,Reduced"/>
    <sortCondition ref="B4:B73"/>
  </sortState>
  <mergeCells count="3">
    <mergeCell ref="A2:P2"/>
    <mergeCell ref="E81:K81"/>
    <mergeCell ref="E75:K75"/>
  </mergeCells>
  <phoneticPr fontId="8" type="noConversion"/>
  <conditionalFormatting sqref="L1">
    <cfRule type="cellIs" dxfId="76" priority="14" operator="greaterThan">
      <formula>1.6</formula>
    </cfRule>
  </conditionalFormatting>
  <conditionalFormatting sqref="L4:L73">
    <cfRule type="cellIs" dxfId="75" priority="10" operator="greaterThan">
      <formula>1.6</formula>
    </cfRule>
    <cfRule type="cellIs" dxfId="74" priority="11" operator="between">
      <formula>1.35</formula>
      <formula>1.6</formula>
    </cfRule>
    <cfRule type="cellIs" dxfId="73" priority="12" operator="between">
      <formula>1.2</formula>
      <formula>1.35</formula>
    </cfRule>
  </conditionalFormatting>
  <conditionalFormatting sqref="N4:N73">
    <cfRule type="cellIs" dxfId="72" priority="1" operator="lessThan">
      <formula>0.4</formula>
    </cfRule>
    <cfRule type="cellIs" dxfId="71" priority="2" operator="between">
      <formula>0.65</formula>
      <formula>0.4</formula>
    </cfRule>
    <cfRule type="cellIs" dxfId="70" priority="3" operator="between">
      <formula>0.8</formula>
      <formula>0.65</formula>
    </cfRule>
  </conditionalFormatting>
  <conditionalFormatting sqref="O4:O73">
    <cfRule type="cellIs" dxfId="69" priority="19" operator="lessThan">
      <formula>20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2A5D-51DF-447F-A92C-EE50EFD3A187}">
  <dimension ref="A1:T73"/>
  <sheetViews>
    <sheetView zoomScaleNormal="100" workbookViewId="0">
      <pane xSplit="2" ySplit="3" topLeftCell="C26" activePane="bottomRight" state="frozen"/>
      <selection pane="topRight" activeCell="C1" sqref="C1"/>
      <selection pane="bottomLeft" activeCell="A4" sqref="A4"/>
      <selection pane="bottomRight" activeCell="G46" sqref="G46"/>
    </sheetView>
  </sheetViews>
  <sheetFormatPr defaultRowHeight="15" x14ac:dyDescent="0.25"/>
  <cols>
    <col min="1" max="1" width="20.7109375" customWidth="1"/>
    <col min="2" max="3" width="10.7109375" customWidth="1"/>
    <col min="4" max="4" width="20.7109375" customWidth="1"/>
    <col min="5" max="5" width="10.7109375" customWidth="1"/>
    <col min="6" max="6" width="12.7109375" bestFit="1" customWidth="1"/>
    <col min="7" max="7" width="15.140625" bestFit="1" customWidth="1"/>
    <col min="8" max="8" width="12.7109375" customWidth="1"/>
    <col min="9" max="9" width="15.42578125" customWidth="1"/>
    <col min="10" max="10" width="11.7109375" customWidth="1"/>
    <col min="11" max="11" width="12.5703125" customWidth="1"/>
    <col min="12" max="14" width="14.140625" customWidth="1"/>
    <col min="15" max="15" width="12.140625" customWidth="1"/>
    <col min="16" max="16" width="35.7109375" customWidth="1"/>
    <col min="17" max="17" width="14.7109375" bestFit="1" customWidth="1"/>
    <col min="18" max="18" width="16.42578125" bestFit="1" customWidth="1"/>
    <col min="19" max="19" width="20.85546875" bestFit="1" customWidth="1"/>
    <col min="20" max="20" width="26.7109375" bestFit="1" customWidth="1"/>
    <col min="21" max="21" width="19.7109375" bestFit="1" customWidth="1"/>
  </cols>
  <sheetData>
    <row r="1" spans="1:20" ht="22.5" x14ac:dyDescent="0.45">
      <c r="A1" s="13" t="s">
        <v>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O1" s="14"/>
      <c r="P1" s="14"/>
    </row>
    <row r="2" spans="1:20" ht="37.5" thickBot="1" x14ac:dyDescent="0.75">
      <c r="A2" s="269" t="s">
        <v>73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20" ht="57" customHeight="1" thickBot="1" x14ac:dyDescent="0.3">
      <c r="A3" s="57" t="s">
        <v>8</v>
      </c>
      <c r="B3" s="58" t="s">
        <v>77</v>
      </c>
      <c r="C3" s="58" t="s">
        <v>78</v>
      </c>
      <c r="D3" s="49" t="s">
        <v>0</v>
      </c>
      <c r="E3" s="49" t="s">
        <v>1</v>
      </c>
      <c r="F3" s="51" t="s">
        <v>2</v>
      </c>
      <c r="G3" s="51" t="s">
        <v>38</v>
      </c>
      <c r="H3" s="51" t="s">
        <v>40</v>
      </c>
      <c r="I3" s="52" t="s">
        <v>64</v>
      </c>
      <c r="J3" s="52" t="s">
        <v>39</v>
      </c>
      <c r="K3" s="53" t="s">
        <v>14</v>
      </c>
      <c r="L3" s="54" t="s">
        <v>74</v>
      </c>
      <c r="M3" s="227" t="s">
        <v>112</v>
      </c>
      <c r="N3" s="227" t="s">
        <v>114</v>
      </c>
      <c r="O3" s="54" t="s">
        <v>42</v>
      </c>
      <c r="P3" s="59" t="s">
        <v>43</v>
      </c>
    </row>
    <row r="4" spans="1:20" ht="15.75" thickTop="1" x14ac:dyDescent="0.25">
      <c r="A4" s="60" t="s">
        <v>67</v>
      </c>
      <c r="B4" s="61">
        <v>5</v>
      </c>
      <c r="C4" s="61"/>
      <c r="D4" s="62" t="s">
        <v>19</v>
      </c>
      <c r="E4" s="61" t="s">
        <v>33</v>
      </c>
      <c r="F4" s="110">
        <v>3447021.1285070162</v>
      </c>
      <c r="G4" s="110">
        <v>212118.54556526642</v>
      </c>
      <c r="H4" s="112">
        <v>193230.17834418031</v>
      </c>
      <c r="I4" s="112">
        <v>11503.639999999979</v>
      </c>
      <c r="J4" s="110">
        <f t="shared" ref="J4:J30" si="0">F4-G4</f>
        <v>3234902.5829417496</v>
      </c>
      <c r="K4" s="262">
        <f t="shared" ref="K4:K30" si="1">J4/H4</f>
        <v>16.741187172014936</v>
      </c>
      <c r="L4" s="130">
        <f>+IF(E4="Weekdays",K4/$G$37,IF(E4="Saturdays",K4/$G$38,IF(E4="Sundays",K4/$G$39,"NA")))</f>
        <v>1.2637562077655307</v>
      </c>
      <c r="M4" s="263">
        <f>(G4/F4)</f>
        <v>6.1536769766520061E-2</v>
      </c>
      <c r="N4" s="66">
        <f>+IF(E4="Weekdays",M4/$G$43,IF(E4="Saturdays",M4/$G$44,IF(E4="Sundays",M4/$G$45,"NA")))</f>
        <v>0.6374709077839894</v>
      </c>
      <c r="O4" s="113">
        <f t="shared" ref="O4:O30" si="2">H4/I4</f>
        <v>16.797307490862082</v>
      </c>
      <c r="P4" s="114"/>
    </row>
    <row r="5" spans="1:20" x14ac:dyDescent="0.25">
      <c r="A5" s="69" t="s">
        <v>67</v>
      </c>
      <c r="B5" s="22">
        <v>23</v>
      </c>
      <c r="C5" s="22"/>
      <c r="D5" s="21" t="s">
        <v>19</v>
      </c>
      <c r="E5" s="22" t="s">
        <v>33</v>
      </c>
      <c r="F5" s="24">
        <v>3126045.0354174864</v>
      </c>
      <c r="G5" s="24">
        <v>143960.0811094841</v>
      </c>
      <c r="H5" s="30">
        <v>123409.73223549298</v>
      </c>
      <c r="I5" s="30">
        <v>9793.3599999999933</v>
      </c>
      <c r="J5" s="24">
        <f t="shared" si="0"/>
        <v>2982084.9543080023</v>
      </c>
      <c r="K5" s="252">
        <f t="shared" si="1"/>
        <v>24.164098732647169</v>
      </c>
      <c r="L5" s="131">
        <f t="shared" ref="L5:L30" si="3">+IF(E5="Weekdays",K5/$G$37,IF(E5="Saturdays",K5/$G$38,IF(E5="Sundays",K5/$G$39,"NA")))</f>
        <v>1.824095834104853</v>
      </c>
      <c r="M5" s="256">
        <f t="shared" ref="M5:M30" si="4">G5/F5</f>
        <v>4.6051825702587194E-2</v>
      </c>
      <c r="N5" s="71">
        <f t="shared" ref="N5:N30" si="5">+IF(E5="Weekdays",M5/$G$43,IF(E5="Saturdays",M5/$G$44,IF(E5="Sundays",M5/$G$45,"NA")))</f>
        <v>0.47705947593807951</v>
      </c>
      <c r="O5" s="116">
        <f t="shared" si="2"/>
        <v>12.601367889620423</v>
      </c>
      <c r="P5" s="117"/>
    </row>
    <row r="6" spans="1:20" x14ac:dyDescent="0.25">
      <c r="A6" s="69" t="s">
        <v>67</v>
      </c>
      <c r="B6" s="21">
        <v>32</v>
      </c>
      <c r="C6" s="21"/>
      <c r="D6" s="21" t="s">
        <v>19</v>
      </c>
      <c r="E6" s="21" t="s">
        <v>33</v>
      </c>
      <c r="F6" s="24">
        <v>2899631.9689367986</v>
      </c>
      <c r="G6" s="24">
        <v>119857.4070397921</v>
      </c>
      <c r="H6" s="30">
        <v>261497.50806646119</v>
      </c>
      <c r="I6" s="30">
        <v>9189.260000000013</v>
      </c>
      <c r="J6" s="24">
        <f t="shared" si="0"/>
        <v>2779774.5618970064</v>
      </c>
      <c r="K6" s="25">
        <f t="shared" si="1"/>
        <v>10.63021434678647</v>
      </c>
      <c r="L6" s="131">
        <f t="shared" si="3"/>
        <v>0.80245201445966019</v>
      </c>
      <c r="M6" s="256">
        <f t="shared" si="4"/>
        <v>4.1335386119273593E-2</v>
      </c>
      <c r="N6" s="71">
        <f t="shared" si="5"/>
        <v>0.42820099613664148</v>
      </c>
      <c r="O6" s="116">
        <f t="shared" si="2"/>
        <v>28.45686247493931</v>
      </c>
      <c r="P6" s="117"/>
    </row>
    <row r="7" spans="1:20" x14ac:dyDescent="0.25">
      <c r="A7" s="69" t="s">
        <v>67</v>
      </c>
      <c r="B7" s="21">
        <v>46</v>
      </c>
      <c r="C7" s="21"/>
      <c r="D7" s="21" t="s">
        <v>19</v>
      </c>
      <c r="E7" s="21" t="s">
        <v>33</v>
      </c>
      <c r="F7" s="24">
        <v>2800258.8552293992</v>
      </c>
      <c r="G7" s="24">
        <v>146615.89325472456</v>
      </c>
      <c r="H7" s="30">
        <v>104437.96245305098</v>
      </c>
      <c r="I7" s="30">
        <v>9008.0999999999967</v>
      </c>
      <c r="J7" s="24">
        <f t="shared" si="0"/>
        <v>2653642.9619746748</v>
      </c>
      <c r="K7" s="252">
        <f t="shared" si="1"/>
        <v>25.408796759775864</v>
      </c>
      <c r="L7" s="131">
        <f t="shared" si="3"/>
        <v>1.9180554107116341</v>
      </c>
      <c r="M7" s="256">
        <f t="shared" si="4"/>
        <v>5.2357978613628446E-2</v>
      </c>
      <c r="N7" s="71">
        <f t="shared" si="5"/>
        <v>0.54238609343975486</v>
      </c>
      <c r="O7" s="116">
        <f t="shared" si="2"/>
        <v>11.593783645058449</v>
      </c>
      <c r="P7" s="117"/>
    </row>
    <row r="8" spans="1:20" x14ac:dyDescent="0.25">
      <c r="A8" s="69" t="s">
        <v>67</v>
      </c>
      <c r="B8" s="22">
        <v>5</v>
      </c>
      <c r="C8" s="22"/>
      <c r="D8" s="21" t="s">
        <v>19</v>
      </c>
      <c r="E8" s="22" t="s">
        <v>65</v>
      </c>
      <c r="F8" s="24">
        <v>674938.61140928906</v>
      </c>
      <c r="G8" s="24">
        <v>22461.77875320553</v>
      </c>
      <c r="H8" s="30">
        <v>27472.764302538038</v>
      </c>
      <c r="I8" s="30">
        <v>2239.7500000000014</v>
      </c>
      <c r="J8" s="24">
        <f t="shared" si="0"/>
        <v>652476.83265608351</v>
      </c>
      <c r="K8" s="251">
        <f t="shared" si="1"/>
        <v>23.749951969551358</v>
      </c>
      <c r="L8" s="131">
        <f t="shared" si="3"/>
        <v>1.3310374491818608</v>
      </c>
      <c r="M8" s="256">
        <f t="shared" si="4"/>
        <v>3.3279735924878803E-2</v>
      </c>
      <c r="N8" s="71">
        <f t="shared" si="5"/>
        <v>0.59963391633135865</v>
      </c>
      <c r="O8" s="116">
        <f t="shared" si="2"/>
        <v>12.265995893531876</v>
      </c>
      <c r="P8" s="117"/>
    </row>
    <row r="9" spans="1:20" x14ac:dyDescent="0.25">
      <c r="A9" s="69" t="s">
        <v>67</v>
      </c>
      <c r="B9" s="21">
        <v>23</v>
      </c>
      <c r="C9" s="21"/>
      <c r="D9" s="21" t="s">
        <v>19</v>
      </c>
      <c r="E9" s="21" t="s">
        <v>65</v>
      </c>
      <c r="F9" s="24">
        <v>399987.96045792836</v>
      </c>
      <c r="G9" s="24">
        <v>14450.432161559209</v>
      </c>
      <c r="H9" s="30">
        <v>17124.905025165899</v>
      </c>
      <c r="I9" s="30">
        <v>1119.559999999999</v>
      </c>
      <c r="J9" s="24">
        <f t="shared" si="0"/>
        <v>385537.52829636913</v>
      </c>
      <c r="K9" s="251">
        <f t="shared" si="1"/>
        <v>22.513265196496132</v>
      </c>
      <c r="L9" s="131">
        <f t="shared" si="3"/>
        <v>1.2617288286863446</v>
      </c>
      <c r="M9" s="255">
        <f t="shared" si="4"/>
        <v>3.612716779028937E-2</v>
      </c>
      <c r="N9" s="71">
        <f t="shared" si="5"/>
        <v>0.65093891240455282</v>
      </c>
      <c r="O9" s="116">
        <f t="shared" si="2"/>
        <v>15.29610295577362</v>
      </c>
      <c r="P9" s="117"/>
      <c r="Q9" s="2"/>
      <c r="S9" s="2"/>
      <c r="T9" s="2"/>
    </row>
    <row r="10" spans="1:20" x14ac:dyDescent="0.25">
      <c r="A10" s="69" t="s">
        <v>67</v>
      </c>
      <c r="B10" s="22">
        <v>32</v>
      </c>
      <c r="C10" s="22"/>
      <c r="D10" s="21" t="s">
        <v>19</v>
      </c>
      <c r="E10" s="22" t="s">
        <v>65</v>
      </c>
      <c r="F10" s="24">
        <v>480153.99917942536</v>
      </c>
      <c r="G10" s="24">
        <v>12715.025969975268</v>
      </c>
      <c r="H10" s="30">
        <v>43006.011488381948</v>
      </c>
      <c r="I10" s="30">
        <v>1669.1999999999987</v>
      </c>
      <c r="J10" s="24">
        <f t="shared" si="0"/>
        <v>467438.97320945008</v>
      </c>
      <c r="K10" s="25">
        <f t="shared" si="1"/>
        <v>10.8691542654619</v>
      </c>
      <c r="L10" s="131">
        <f t="shared" si="3"/>
        <v>0.60914865793464756</v>
      </c>
      <c r="M10" s="256">
        <f t="shared" si="4"/>
        <v>2.6481141449836969E-2</v>
      </c>
      <c r="N10" s="71">
        <f t="shared" si="5"/>
        <v>0.47713691575959355</v>
      </c>
      <c r="O10" s="116">
        <f t="shared" si="2"/>
        <v>25.764444936725365</v>
      </c>
      <c r="P10" s="117"/>
      <c r="Q10" s="8"/>
      <c r="S10" s="8"/>
      <c r="T10" s="10"/>
    </row>
    <row r="11" spans="1:20" x14ac:dyDescent="0.25">
      <c r="A11" s="69" t="s">
        <v>67</v>
      </c>
      <c r="B11" s="22">
        <v>5</v>
      </c>
      <c r="C11" s="22"/>
      <c r="D11" s="21" t="s">
        <v>19</v>
      </c>
      <c r="E11" s="22" t="s">
        <v>66</v>
      </c>
      <c r="F11" s="24">
        <v>744569.45720326295</v>
      </c>
      <c r="G11" s="24">
        <v>21508.20809368886</v>
      </c>
      <c r="H11" s="30">
        <v>25469.650411820643</v>
      </c>
      <c r="I11" s="30">
        <v>2436.4900000000002</v>
      </c>
      <c r="J11" s="24">
        <f t="shared" si="0"/>
        <v>723061.24910957413</v>
      </c>
      <c r="K11" s="250">
        <f t="shared" si="1"/>
        <v>28.389131276572069</v>
      </c>
      <c r="L11" s="131">
        <f>+IF(E11="Weekdays",K11/$G$37,IF(E11="Saturdays",K11/$G$38,IF(E11="Sundays",K11/$G$39,"NA")))</f>
        <v>1.3888971138887376</v>
      </c>
      <c r="M11" s="256">
        <f t="shared" si="4"/>
        <v>2.8886771926527263E-2</v>
      </c>
      <c r="N11" s="71">
        <f t="shared" si="5"/>
        <v>0.5551003113717996</v>
      </c>
      <c r="O11" s="116">
        <f t="shared" si="2"/>
        <v>10.45341881633852</v>
      </c>
      <c r="P11" s="117"/>
      <c r="Q11" s="8"/>
      <c r="S11" s="8"/>
      <c r="T11" s="10"/>
    </row>
    <row r="12" spans="1:20" x14ac:dyDescent="0.25">
      <c r="A12" s="69" t="s">
        <v>67</v>
      </c>
      <c r="B12" s="21">
        <v>23</v>
      </c>
      <c r="C12" s="21"/>
      <c r="D12" s="21" t="s">
        <v>19</v>
      </c>
      <c r="E12" s="21" t="s">
        <v>66</v>
      </c>
      <c r="F12" s="24">
        <v>437297.84918921551</v>
      </c>
      <c r="G12" s="24">
        <v>12699.179899125113</v>
      </c>
      <c r="H12" s="30">
        <v>13370.75917901639</v>
      </c>
      <c r="I12" s="30">
        <v>1222.6400000000001</v>
      </c>
      <c r="J12" s="24">
        <f t="shared" si="0"/>
        <v>424598.66929009039</v>
      </c>
      <c r="K12" s="250">
        <f t="shared" si="1"/>
        <v>31.75576372330757</v>
      </c>
      <c r="L12" s="131">
        <f t="shared" si="3"/>
        <v>1.5536047283360268</v>
      </c>
      <c r="M12" s="256">
        <f t="shared" si="4"/>
        <v>2.9040115158742233E-2</v>
      </c>
      <c r="N12" s="71">
        <f t="shared" si="5"/>
        <v>0.5580470191647573</v>
      </c>
      <c r="O12" s="116">
        <f t="shared" si="2"/>
        <v>10.935973940829998</v>
      </c>
      <c r="P12" s="117"/>
      <c r="Q12" s="8"/>
    </row>
    <row r="13" spans="1:20" x14ac:dyDescent="0.25">
      <c r="A13" s="69" t="s">
        <v>67</v>
      </c>
      <c r="B13" s="21">
        <v>32</v>
      </c>
      <c r="C13" s="21"/>
      <c r="D13" s="21" t="s">
        <v>19</v>
      </c>
      <c r="E13" s="21" t="s">
        <v>66</v>
      </c>
      <c r="F13" s="24">
        <v>497535.19588061824</v>
      </c>
      <c r="G13" s="24">
        <v>10392.525521081834</v>
      </c>
      <c r="H13" s="30">
        <v>35613.344154829487</v>
      </c>
      <c r="I13" s="30">
        <v>1651.2600000000014</v>
      </c>
      <c r="J13" s="24">
        <f t="shared" si="0"/>
        <v>487142.67035953642</v>
      </c>
      <c r="K13" s="25">
        <f t="shared" si="1"/>
        <v>13.678655625309355</v>
      </c>
      <c r="L13" s="131">
        <f t="shared" si="3"/>
        <v>0.66920840707613605</v>
      </c>
      <c r="M13" s="256">
        <f t="shared" si="4"/>
        <v>2.0888020801598694E-2</v>
      </c>
      <c r="N13" s="71">
        <f t="shared" si="5"/>
        <v>0.4013929587009411</v>
      </c>
      <c r="O13" s="116">
        <f t="shared" si="2"/>
        <v>21.567375310265771</v>
      </c>
      <c r="P13" s="117"/>
      <c r="Q13" s="8"/>
    </row>
    <row r="14" spans="1:20" x14ac:dyDescent="0.25">
      <c r="A14" s="69" t="s">
        <v>68</v>
      </c>
      <c r="B14" s="21">
        <v>30</v>
      </c>
      <c r="C14" s="21"/>
      <c r="D14" s="21" t="s">
        <v>19</v>
      </c>
      <c r="E14" s="21" t="s">
        <v>33</v>
      </c>
      <c r="F14" s="24">
        <v>1134979.3046549608</v>
      </c>
      <c r="G14" s="24">
        <v>70261.618412114898</v>
      </c>
      <c r="H14" s="30">
        <v>68891</v>
      </c>
      <c r="I14" s="30">
        <v>8183.2999999999993</v>
      </c>
      <c r="J14" s="24">
        <f t="shared" si="0"/>
        <v>1064717.6862428458</v>
      </c>
      <c r="K14" s="25">
        <f t="shared" si="1"/>
        <v>15.455105692221711</v>
      </c>
      <c r="L14" s="131">
        <f t="shared" si="3"/>
        <v>1.1666726833367578</v>
      </c>
      <c r="M14" s="256">
        <f t="shared" si="4"/>
        <v>6.1905638388247766E-2</v>
      </c>
      <c r="N14" s="71">
        <f t="shared" si="5"/>
        <v>0.64129208682926531</v>
      </c>
      <c r="O14" s="116">
        <f t="shared" si="2"/>
        <v>8.4184864296799589</v>
      </c>
      <c r="P14" s="117"/>
    </row>
    <row r="15" spans="1:20" x14ac:dyDescent="0.25">
      <c r="A15" s="69" t="s">
        <v>68</v>
      </c>
      <c r="B15" s="21">
        <v>33</v>
      </c>
      <c r="C15" s="21"/>
      <c r="D15" s="21" t="s">
        <v>19</v>
      </c>
      <c r="E15" s="21" t="s">
        <v>33</v>
      </c>
      <c r="F15" s="24">
        <v>113621.56587599275</v>
      </c>
      <c r="G15" s="24">
        <v>17656.588803785391</v>
      </c>
      <c r="H15" s="30">
        <v>11997</v>
      </c>
      <c r="I15" s="30">
        <v>898.15</v>
      </c>
      <c r="J15" s="24">
        <f t="shared" si="0"/>
        <v>95964.977072207359</v>
      </c>
      <c r="K15" s="25">
        <f t="shared" si="1"/>
        <v>7.9990811929821923</v>
      </c>
      <c r="L15" s="131">
        <f t="shared" si="3"/>
        <v>0.60383343249098065</v>
      </c>
      <c r="M15" s="71">
        <f t="shared" si="4"/>
        <v>0.15539821747445284</v>
      </c>
      <c r="N15" s="71">
        <f t="shared" si="5"/>
        <v>1.6097992003367918</v>
      </c>
      <c r="O15" s="116">
        <f t="shared" si="2"/>
        <v>13.357456994934031</v>
      </c>
      <c r="P15" s="117"/>
    </row>
    <row r="16" spans="1:20" x14ac:dyDescent="0.25">
      <c r="A16" s="69" t="s">
        <v>68</v>
      </c>
      <c r="B16" s="22">
        <v>65</v>
      </c>
      <c r="C16" s="22"/>
      <c r="D16" s="21" t="s">
        <v>19</v>
      </c>
      <c r="E16" s="22" t="s">
        <v>33</v>
      </c>
      <c r="F16" s="24">
        <v>682853.1415447453</v>
      </c>
      <c r="G16" s="24">
        <v>92323.685489968717</v>
      </c>
      <c r="H16" s="30">
        <v>81448</v>
      </c>
      <c r="I16" s="30">
        <v>6090.09</v>
      </c>
      <c r="J16" s="24">
        <f t="shared" si="0"/>
        <v>590529.45605477656</v>
      </c>
      <c r="K16" s="25">
        <f t="shared" si="1"/>
        <v>7.2503862102786636</v>
      </c>
      <c r="L16" s="131">
        <f t="shared" si="3"/>
        <v>0.54731605875919809</v>
      </c>
      <c r="M16" s="71">
        <f t="shared" si="4"/>
        <v>0.13520284212373215</v>
      </c>
      <c r="N16" s="71">
        <f t="shared" si="5"/>
        <v>1.40059152975694</v>
      </c>
      <c r="O16" s="116">
        <f t="shared" si="2"/>
        <v>13.373858186003819</v>
      </c>
      <c r="P16" s="117"/>
    </row>
    <row r="17" spans="1:16" x14ac:dyDescent="0.25">
      <c r="A17" s="69" t="s">
        <v>68</v>
      </c>
      <c r="B17" s="22">
        <v>80</v>
      </c>
      <c r="C17" s="22"/>
      <c r="D17" s="21" t="s">
        <v>19</v>
      </c>
      <c r="E17" s="22" t="s">
        <v>33</v>
      </c>
      <c r="F17" s="24">
        <v>409513.09397777548</v>
      </c>
      <c r="G17" s="24">
        <v>50105.709963120797</v>
      </c>
      <c r="H17" s="30">
        <v>45966</v>
      </c>
      <c r="I17" s="30">
        <v>3524.29</v>
      </c>
      <c r="J17" s="24">
        <f t="shared" si="0"/>
        <v>359407.38401465467</v>
      </c>
      <c r="K17" s="25">
        <f t="shared" si="1"/>
        <v>7.8189832488068287</v>
      </c>
      <c r="L17" s="131">
        <f t="shared" si="3"/>
        <v>0.59023822609260235</v>
      </c>
      <c r="M17" s="71">
        <f t="shared" si="4"/>
        <v>0.12235435374342404</v>
      </c>
      <c r="N17" s="71">
        <f t="shared" si="5"/>
        <v>1.2674916354575934</v>
      </c>
      <c r="O17" s="116">
        <f t="shared" si="2"/>
        <v>13.042627025585295</v>
      </c>
      <c r="P17" s="117"/>
    </row>
    <row r="18" spans="1:16" x14ac:dyDescent="0.25">
      <c r="A18" s="69" t="s">
        <v>68</v>
      </c>
      <c r="B18" s="21">
        <v>83</v>
      </c>
      <c r="C18" s="21"/>
      <c r="D18" s="21" t="s">
        <v>19</v>
      </c>
      <c r="E18" s="21" t="s">
        <v>33</v>
      </c>
      <c r="F18" s="24">
        <v>673625.50153912418</v>
      </c>
      <c r="G18" s="24">
        <v>79325.875335234741</v>
      </c>
      <c r="H18" s="30">
        <v>60333</v>
      </c>
      <c r="I18" s="30">
        <v>6306.71</v>
      </c>
      <c r="J18" s="24">
        <f t="shared" si="0"/>
        <v>594299.62620388949</v>
      </c>
      <c r="K18" s="25">
        <f t="shared" si="1"/>
        <v>9.8503244692604301</v>
      </c>
      <c r="L18" s="131">
        <f t="shared" si="3"/>
        <v>0.74357980522084488</v>
      </c>
      <c r="M18" s="71">
        <f t="shared" si="4"/>
        <v>0.11775960849758223</v>
      </c>
      <c r="N18" s="71">
        <f t="shared" si="5"/>
        <v>1.2198938100596062</v>
      </c>
      <c r="O18" s="116">
        <f t="shared" si="2"/>
        <v>9.5664776087690733</v>
      </c>
      <c r="P18" s="117"/>
    </row>
    <row r="19" spans="1:16" x14ac:dyDescent="0.25">
      <c r="A19" s="69" t="s">
        <v>68</v>
      </c>
      <c r="B19" s="22">
        <v>87</v>
      </c>
      <c r="C19" s="22"/>
      <c r="D19" s="21" t="s">
        <v>19</v>
      </c>
      <c r="E19" s="22" t="s">
        <v>33</v>
      </c>
      <c r="F19" s="24">
        <v>1026949.5749583647</v>
      </c>
      <c r="G19" s="24">
        <v>176043.90161427049</v>
      </c>
      <c r="H19" s="30">
        <v>118950</v>
      </c>
      <c r="I19" s="30">
        <v>9652.7899999999991</v>
      </c>
      <c r="J19" s="24">
        <f t="shared" si="0"/>
        <v>850905.67334409419</v>
      </c>
      <c r="K19" s="25">
        <f t="shared" si="1"/>
        <v>7.1534735043639692</v>
      </c>
      <c r="L19" s="131">
        <f t="shared" si="3"/>
        <v>0.54000032705793732</v>
      </c>
      <c r="M19" s="71">
        <f t="shared" si="4"/>
        <v>0.17142409511334361</v>
      </c>
      <c r="N19" s="71">
        <f t="shared" si="5"/>
        <v>1.7758142642613368</v>
      </c>
      <c r="O19" s="116">
        <f t="shared" si="2"/>
        <v>12.322862094793321</v>
      </c>
      <c r="P19" s="117"/>
    </row>
    <row r="20" spans="1:16" x14ac:dyDescent="0.25">
      <c r="A20" s="69" t="s">
        <v>68</v>
      </c>
      <c r="B20" s="21">
        <v>30</v>
      </c>
      <c r="C20" s="21"/>
      <c r="D20" s="21" t="s">
        <v>19</v>
      </c>
      <c r="E20" s="21" t="s">
        <v>65</v>
      </c>
      <c r="F20" s="24">
        <v>188648.92120129717</v>
      </c>
      <c r="G20" s="24">
        <v>8004.2681727944218</v>
      </c>
      <c r="H20" s="30">
        <v>8839</v>
      </c>
      <c r="I20" s="30">
        <v>1382.9</v>
      </c>
      <c r="J20" s="24">
        <f t="shared" si="0"/>
        <v>180644.65302850274</v>
      </c>
      <c r="K20" s="25">
        <f t="shared" si="1"/>
        <v>20.437227404514395</v>
      </c>
      <c r="L20" s="131">
        <f t="shared" si="3"/>
        <v>1.14537979140883</v>
      </c>
      <c r="M20" s="255">
        <f t="shared" si="4"/>
        <v>4.2429440475058408E-2</v>
      </c>
      <c r="N20" s="71">
        <f t="shared" si="5"/>
        <v>0.76449319241105707</v>
      </c>
      <c r="O20" s="116">
        <f t="shared" si="2"/>
        <v>6.3916407549352803</v>
      </c>
      <c r="P20" s="117"/>
    </row>
    <row r="21" spans="1:16" x14ac:dyDescent="0.25">
      <c r="A21" s="69" t="s">
        <v>68</v>
      </c>
      <c r="B21" s="22">
        <v>33</v>
      </c>
      <c r="C21" s="22"/>
      <c r="D21" s="21" t="s">
        <v>19</v>
      </c>
      <c r="E21" s="22" t="s">
        <v>65</v>
      </c>
      <c r="F21" s="24">
        <v>22409.25709377872</v>
      </c>
      <c r="G21" s="24">
        <v>892.14527368126608</v>
      </c>
      <c r="H21" s="30">
        <v>663</v>
      </c>
      <c r="I21" s="30">
        <v>153.69999999999999</v>
      </c>
      <c r="J21" s="24">
        <f t="shared" si="0"/>
        <v>21517.111820097456</v>
      </c>
      <c r="K21" s="252">
        <f t="shared" si="1"/>
        <v>32.454165641172636</v>
      </c>
      <c r="L21" s="131">
        <f t="shared" si="3"/>
        <v>1.8188546194002275</v>
      </c>
      <c r="M21" s="255">
        <f t="shared" si="4"/>
        <v>3.9811461395074285E-2</v>
      </c>
      <c r="N21" s="71">
        <f t="shared" si="5"/>
        <v>0.71732247410523975</v>
      </c>
      <c r="O21" s="116">
        <f t="shared" si="2"/>
        <v>4.3135979180221211</v>
      </c>
      <c r="P21" s="117"/>
    </row>
    <row r="22" spans="1:16" x14ac:dyDescent="0.25">
      <c r="A22" s="69" t="s">
        <v>68</v>
      </c>
      <c r="B22" s="21">
        <v>65</v>
      </c>
      <c r="C22" s="21"/>
      <c r="D22" s="21" t="s">
        <v>19</v>
      </c>
      <c r="E22" s="21" t="s">
        <v>65</v>
      </c>
      <c r="F22" s="24">
        <v>127065.26462638682</v>
      </c>
      <c r="G22" s="24">
        <v>11774.368031126622</v>
      </c>
      <c r="H22" s="30">
        <v>11621</v>
      </c>
      <c r="I22" s="30">
        <v>1171.51</v>
      </c>
      <c r="J22" s="24">
        <f t="shared" si="0"/>
        <v>115290.8965952602</v>
      </c>
      <c r="K22" s="25">
        <f t="shared" si="1"/>
        <v>9.9209101278082947</v>
      </c>
      <c r="L22" s="131">
        <f t="shared" si="3"/>
        <v>0.55600545748513741</v>
      </c>
      <c r="M22" s="71">
        <f t="shared" si="4"/>
        <v>9.2663939793043285E-2</v>
      </c>
      <c r="N22" s="71">
        <f t="shared" si="5"/>
        <v>1.6696178493188609</v>
      </c>
      <c r="O22" s="116">
        <f t="shared" si="2"/>
        <v>9.9196763151829686</v>
      </c>
      <c r="P22" s="117"/>
    </row>
    <row r="23" spans="1:16" x14ac:dyDescent="0.25">
      <c r="A23" s="69" t="s">
        <v>68</v>
      </c>
      <c r="B23" s="21">
        <v>80</v>
      </c>
      <c r="C23" s="21"/>
      <c r="D23" s="21" t="s">
        <v>19</v>
      </c>
      <c r="E23" s="21" t="s">
        <v>65</v>
      </c>
      <c r="F23" s="24">
        <v>84244.107890072584</v>
      </c>
      <c r="G23" s="24">
        <v>6564.0013818977568</v>
      </c>
      <c r="H23" s="30">
        <v>7303</v>
      </c>
      <c r="I23" s="30">
        <v>718.83899999999994</v>
      </c>
      <c r="J23" s="24">
        <f t="shared" si="0"/>
        <v>77680.106508174824</v>
      </c>
      <c r="K23" s="25">
        <f t="shared" si="1"/>
        <v>10.636739217879615</v>
      </c>
      <c r="L23" s="131">
        <f t="shared" si="3"/>
        <v>0.59612323655771127</v>
      </c>
      <c r="M23" s="71">
        <f t="shared" si="4"/>
        <v>7.7916444797099763E-2</v>
      </c>
      <c r="N23" s="71">
        <f t="shared" si="5"/>
        <v>1.4038976464766282</v>
      </c>
      <c r="O23" s="116">
        <f t="shared" si="2"/>
        <v>10.159437648764188</v>
      </c>
      <c r="P23" s="117"/>
    </row>
    <row r="24" spans="1:16" x14ac:dyDescent="0.25">
      <c r="A24" s="69" t="s">
        <v>68</v>
      </c>
      <c r="B24" s="21">
        <v>83</v>
      </c>
      <c r="C24" s="21"/>
      <c r="D24" s="21" t="s">
        <v>19</v>
      </c>
      <c r="E24" s="21" t="s">
        <v>65</v>
      </c>
      <c r="F24" s="24">
        <v>112966.78114596439</v>
      </c>
      <c r="G24" s="24">
        <v>6483.1719741903762</v>
      </c>
      <c r="H24" s="30">
        <v>5833</v>
      </c>
      <c r="I24" s="30">
        <v>991.6</v>
      </c>
      <c r="J24" s="24">
        <f t="shared" si="0"/>
        <v>106483.60917177401</v>
      </c>
      <c r="K24" s="25">
        <f t="shared" si="1"/>
        <v>18.255376165227844</v>
      </c>
      <c r="L24" s="131">
        <f t="shared" si="3"/>
        <v>1.0231005669389241</v>
      </c>
      <c r="M24" s="71">
        <f t="shared" si="4"/>
        <v>5.7390074395529331E-2</v>
      </c>
      <c r="N24" s="71">
        <f t="shared" si="5"/>
        <v>1.0340537300541879</v>
      </c>
      <c r="O24" s="116">
        <f t="shared" si="2"/>
        <v>5.8824122630092779</v>
      </c>
      <c r="P24" s="117"/>
    </row>
    <row r="25" spans="1:16" x14ac:dyDescent="0.25">
      <c r="A25" s="69" t="s">
        <v>68</v>
      </c>
      <c r="B25" s="21">
        <v>87</v>
      </c>
      <c r="C25" s="21"/>
      <c r="D25" s="21" t="s">
        <v>19</v>
      </c>
      <c r="E25" s="21" t="s">
        <v>65</v>
      </c>
      <c r="F25" s="24">
        <v>187361.90744354058</v>
      </c>
      <c r="G25" s="24">
        <v>17499.864086625981</v>
      </c>
      <c r="H25" s="30">
        <v>14454</v>
      </c>
      <c r="I25" s="30">
        <v>1759.33</v>
      </c>
      <c r="J25" s="24">
        <f t="shared" si="0"/>
        <v>169862.0433569146</v>
      </c>
      <c r="K25" s="25">
        <f t="shared" si="1"/>
        <v>11.751905587167192</v>
      </c>
      <c r="L25" s="131">
        <f t="shared" si="3"/>
        <v>0.65862139240631756</v>
      </c>
      <c r="M25" s="71">
        <f t="shared" si="4"/>
        <v>9.3401397997078833E-2</v>
      </c>
      <c r="N25" s="71">
        <f t="shared" si="5"/>
        <v>1.6829053631385227</v>
      </c>
      <c r="O25" s="116">
        <f t="shared" si="2"/>
        <v>8.215627540029443</v>
      </c>
      <c r="P25" s="117"/>
    </row>
    <row r="26" spans="1:16" x14ac:dyDescent="0.25">
      <c r="A26" s="69" t="s">
        <v>68</v>
      </c>
      <c r="B26" s="22">
        <v>30</v>
      </c>
      <c r="C26" s="22"/>
      <c r="D26" s="21" t="s">
        <v>19</v>
      </c>
      <c r="E26" s="22" t="s">
        <v>66</v>
      </c>
      <c r="F26" s="24">
        <v>209631.80661413405</v>
      </c>
      <c r="G26" s="24">
        <v>6534.9172322330169</v>
      </c>
      <c r="H26" s="30">
        <v>6868</v>
      </c>
      <c r="I26" s="30">
        <v>1536.6999999999998</v>
      </c>
      <c r="J26" s="24">
        <f t="shared" si="0"/>
        <v>203096.88938190104</v>
      </c>
      <c r="K26" s="250">
        <f t="shared" si="1"/>
        <v>29.571474866322227</v>
      </c>
      <c r="L26" s="131">
        <f t="shared" si="3"/>
        <v>1.4467415608861001</v>
      </c>
      <c r="M26" s="256">
        <f t="shared" si="4"/>
        <v>3.1173309708014563E-2</v>
      </c>
      <c r="N26" s="71">
        <f t="shared" si="5"/>
        <v>0.5990393793194162</v>
      </c>
      <c r="O26" s="116">
        <f t="shared" si="2"/>
        <v>4.469317368386803</v>
      </c>
      <c r="P26" s="117"/>
    </row>
    <row r="27" spans="1:16" x14ac:dyDescent="0.25">
      <c r="A27" s="69" t="s">
        <v>68</v>
      </c>
      <c r="B27" s="22">
        <v>65</v>
      </c>
      <c r="C27" s="22"/>
      <c r="D27" s="21" t="s">
        <v>19</v>
      </c>
      <c r="E27" s="22" t="s">
        <v>66</v>
      </c>
      <c r="F27" s="24">
        <v>109156.82937408483</v>
      </c>
      <c r="G27" s="24">
        <v>8509.1035027338348</v>
      </c>
      <c r="H27" s="30">
        <v>8336</v>
      </c>
      <c r="I27" s="30">
        <v>988.25</v>
      </c>
      <c r="J27" s="24">
        <f t="shared" si="0"/>
        <v>100647.72587135099</v>
      </c>
      <c r="K27" s="25">
        <f t="shared" si="1"/>
        <v>12.073863468252279</v>
      </c>
      <c r="L27" s="131">
        <f t="shared" si="3"/>
        <v>0.59069627602099417</v>
      </c>
      <c r="M27" s="71">
        <f t="shared" si="4"/>
        <v>7.7953010833365227E-2</v>
      </c>
      <c r="N27" s="71">
        <f t="shared" si="5"/>
        <v>1.4979777143680446</v>
      </c>
      <c r="O27" s="116">
        <f t="shared" si="2"/>
        <v>8.4351125727295724</v>
      </c>
      <c r="P27" s="118"/>
    </row>
    <row r="28" spans="1:16" x14ac:dyDescent="0.25">
      <c r="A28" s="69" t="s">
        <v>68</v>
      </c>
      <c r="B28" s="21">
        <v>80</v>
      </c>
      <c r="C28" s="21"/>
      <c r="D28" s="21" t="s">
        <v>19</v>
      </c>
      <c r="E28" s="21" t="s">
        <v>66</v>
      </c>
      <c r="F28" s="24">
        <v>50750.774451600206</v>
      </c>
      <c r="G28" s="24">
        <v>5851.245264236768</v>
      </c>
      <c r="H28" s="30">
        <v>5302</v>
      </c>
      <c r="I28" s="30">
        <v>432.47</v>
      </c>
      <c r="J28" s="24">
        <f t="shared" si="0"/>
        <v>44899.529187363441</v>
      </c>
      <c r="K28" s="25">
        <f t="shared" si="1"/>
        <v>8.468413652841086</v>
      </c>
      <c r="L28" s="131">
        <f t="shared" si="3"/>
        <v>0.41430486784050596</v>
      </c>
      <c r="M28" s="71">
        <f t="shared" si="4"/>
        <v>0.11529371378986462</v>
      </c>
      <c r="N28" s="71">
        <f t="shared" si="5"/>
        <v>2.2155323061623577</v>
      </c>
      <c r="O28" s="116">
        <f t="shared" si="2"/>
        <v>12.259809929012416</v>
      </c>
      <c r="P28" s="117"/>
    </row>
    <row r="29" spans="1:16" x14ac:dyDescent="0.25">
      <c r="A29" s="69" t="s">
        <v>68</v>
      </c>
      <c r="B29" s="22">
        <v>83</v>
      </c>
      <c r="C29" s="22"/>
      <c r="D29" s="21" t="s">
        <v>19</v>
      </c>
      <c r="E29" s="22" t="s">
        <v>66</v>
      </c>
      <c r="F29" s="24">
        <v>125340.37204957695</v>
      </c>
      <c r="G29" s="24">
        <v>4883.5912000247645</v>
      </c>
      <c r="H29" s="30">
        <v>4952</v>
      </c>
      <c r="I29" s="30">
        <v>1090.3700000000001</v>
      </c>
      <c r="J29" s="24">
        <f t="shared" si="0"/>
        <v>120456.78084955219</v>
      </c>
      <c r="K29" s="25">
        <f t="shared" si="1"/>
        <v>24.324874969618779</v>
      </c>
      <c r="L29" s="131">
        <f t="shared" si="3"/>
        <v>1.1900592628872917</v>
      </c>
      <c r="M29" s="255">
        <f t="shared" si="4"/>
        <v>3.8962635264024235E-2</v>
      </c>
      <c r="N29" s="71">
        <f t="shared" si="5"/>
        <v>0.74872232251967752</v>
      </c>
      <c r="O29" s="116">
        <f t="shared" si="2"/>
        <v>4.5415776296119663</v>
      </c>
      <c r="P29" s="117"/>
    </row>
    <row r="30" spans="1:16" ht="15.75" thickBot="1" x14ac:dyDescent="0.3">
      <c r="A30" s="73" t="s">
        <v>68</v>
      </c>
      <c r="B30" s="120">
        <v>87</v>
      </c>
      <c r="C30" s="120"/>
      <c r="D30" s="75" t="s">
        <v>19</v>
      </c>
      <c r="E30" s="120" t="s">
        <v>66</v>
      </c>
      <c r="F30" s="121">
        <v>147311.18408585986</v>
      </c>
      <c r="G30" s="121">
        <v>10917.685522349384</v>
      </c>
      <c r="H30" s="123">
        <v>8939</v>
      </c>
      <c r="I30" s="123">
        <v>1379.4199999999998</v>
      </c>
      <c r="J30" s="121">
        <f t="shared" si="0"/>
        <v>136393.49856351048</v>
      </c>
      <c r="K30" s="78">
        <f t="shared" si="1"/>
        <v>15.258250202876214</v>
      </c>
      <c r="L30" s="133">
        <f t="shared" si="3"/>
        <v>0.74648778306420671</v>
      </c>
      <c r="M30" s="79">
        <f t="shared" si="4"/>
        <v>7.411307966940274E-2</v>
      </c>
      <c r="N30" s="79">
        <f t="shared" si="5"/>
        <v>1.4241879883930071</v>
      </c>
      <c r="O30" s="124">
        <f t="shared" si="2"/>
        <v>6.4802598193443632</v>
      </c>
      <c r="P30" s="125"/>
    </row>
    <row r="31" spans="1:16" ht="15.75" thickTop="1" x14ac:dyDescent="0.25">
      <c r="A31" s="21"/>
      <c r="B31" s="21"/>
      <c r="C31" s="21"/>
      <c r="D31" s="21"/>
      <c r="E31" s="21"/>
      <c r="F31" s="21"/>
      <c r="G31" s="24"/>
      <c r="H31" s="25"/>
      <c r="I31" s="28"/>
      <c r="J31" s="28"/>
      <c r="K31" s="25"/>
      <c r="L31" s="21"/>
      <c r="M31" s="71"/>
      <c r="N31" s="71"/>
      <c r="O31" s="21"/>
      <c r="P31" s="21"/>
    </row>
    <row r="32" spans="1:16" x14ac:dyDescent="0.25">
      <c r="A32" s="21"/>
      <c r="B32" s="21"/>
      <c r="C32" s="21"/>
      <c r="D32" s="21"/>
      <c r="E32" s="21"/>
      <c r="F32" s="21"/>
      <c r="G32" s="24"/>
      <c r="H32" s="25"/>
      <c r="I32" s="28"/>
      <c r="J32" s="28"/>
      <c r="K32" s="25"/>
      <c r="L32" s="21"/>
      <c r="M32" s="71"/>
      <c r="N32" s="71"/>
      <c r="O32" s="21"/>
      <c r="P32" s="21"/>
    </row>
    <row r="33" spans="1:16" x14ac:dyDescent="0.25">
      <c r="A33" s="21"/>
      <c r="B33" s="21"/>
      <c r="C33" s="21"/>
      <c r="D33" s="21"/>
      <c r="E33" s="21"/>
      <c r="F33" s="21"/>
      <c r="G33" s="24"/>
      <c r="H33" s="25"/>
      <c r="I33" s="28"/>
      <c r="J33" s="28"/>
      <c r="K33" s="25"/>
      <c r="L33" s="21"/>
      <c r="M33" s="71"/>
      <c r="N33" s="71"/>
      <c r="O33" s="21"/>
      <c r="P33" s="21"/>
    </row>
    <row r="34" spans="1:16" x14ac:dyDescent="0.25">
      <c r="A34" s="21"/>
      <c r="B34" s="21"/>
      <c r="C34" s="21"/>
      <c r="D34" s="21"/>
      <c r="E34" s="21"/>
      <c r="F34" s="21"/>
      <c r="G34" s="24"/>
      <c r="H34" s="25"/>
      <c r="I34" s="28"/>
      <c r="J34" s="28"/>
      <c r="K34" s="25"/>
      <c r="L34" s="21"/>
      <c r="M34" s="71"/>
      <c r="N34" s="71"/>
      <c r="O34" s="21"/>
      <c r="P34" s="21"/>
    </row>
    <row r="35" spans="1:16" ht="15.75" thickBot="1" x14ac:dyDescent="0.3">
      <c r="A35" s="21"/>
      <c r="B35" s="21"/>
      <c r="C35" s="21"/>
      <c r="D35" s="21"/>
      <c r="E35" s="268" t="s">
        <v>113</v>
      </c>
      <c r="F35" s="268"/>
      <c r="G35" s="268"/>
      <c r="H35" s="268"/>
      <c r="I35" s="268"/>
      <c r="J35" s="268"/>
      <c r="K35" s="268"/>
      <c r="L35" s="21"/>
      <c r="M35" s="71"/>
      <c r="N35" s="71"/>
      <c r="O35" s="21"/>
      <c r="P35" s="21"/>
    </row>
    <row r="36" spans="1:16" ht="36" x14ac:dyDescent="0.25">
      <c r="A36" s="21"/>
      <c r="B36" s="21"/>
      <c r="C36" s="21"/>
      <c r="D36" s="21"/>
      <c r="E36" s="82" t="s">
        <v>63</v>
      </c>
      <c r="F36" s="126" t="s">
        <v>44</v>
      </c>
      <c r="G36" s="127" t="s">
        <v>45</v>
      </c>
      <c r="H36" s="127" t="s">
        <v>46</v>
      </c>
      <c r="I36" s="127" t="s">
        <v>47</v>
      </c>
      <c r="J36" s="128" t="s">
        <v>48</v>
      </c>
      <c r="K36" s="85" t="s">
        <v>62</v>
      </c>
      <c r="L36" s="21"/>
      <c r="M36" s="71"/>
      <c r="N36" s="71"/>
      <c r="O36" s="21"/>
      <c r="P36" s="21"/>
    </row>
    <row r="37" spans="1:16" x14ac:dyDescent="0.25">
      <c r="A37" s="21"/>
      <c r="B37" s="21"/>
      <c r="C37" s="21"/>
      <c r="D37" s="21"/>
      <c r="E37" s="86">
        <f>COUNTIF($E$4:$E$30, "Weekdays")</f>
        <v>10</v>
      </c>
      <c r="F37" s="93" t="s">
        <v>33</v>
      </c>
      <c r="G37" s="94">
        <f>AVERAGEIF($E$4:$E$30,"Weekdays",K4:K30)</f>
        <v>13.247165132913825</v>
      </c>
      <c r="H37" s="95">
        <f>G37*1.2</f>
        <v>15.896598159496589</v>
      </c>
      <c r="I37" s="96">
        <f>G37*1.35</f>
        <v>17.883672929433665</v>
      </c>
      <c r="J37" s="97">
        <f>G37*1.6</f>
        <v>21.19546421266212</v>
      </c>
      <c r="K37" s="92">
        <f>+SUMIF($E$4:$E$30,"Weekdays",$J$4:$J$30)/SUMIF($E$4:$E$30,"Weekdays",$H$4:$H$30)</f>
        <v>14.209299963464584</v>
      </c>
      <c r="L37" s="21"/>
      <c r="M37" s="71"/>
      <c r="N37" s="71"/>
      <c r="O37" s="21"/>
      <c r="P37" s="21"/>
    </row>
    <row r="38" spans="1:16" x14ac:dyDescent="0.25">
      <c r="A38" s="21"/>
      <c r="B38" s="21"/>
      <c r="C38" s="21"/>
      <c r="D38" s="21"/>
      <c r="E38" s="86">
        <f>COUNTIF($E$4:$E$30, "Saturdays")</f>
        <v>9</v>
      </c>
      <c r="F38" s="93" t="s">
        <v>65</v>
      </c>
      <c r="G38" s="94">
        <f>AVERAGEIF($E$4:$E$30,"Saturdays",K4:K30)</f>
        <v>17.843188397253261</v>
      </c>
      <c r="H38" s="95">
        <f>G38*1.2</f>
        <v>21.411826076703914</v>
      </c>
      <c r="I38" s="96">
        <f>G38*1.35</f>
        <v>24.088304336291905</v>
      </c>
      <c r="J38" s="97">
        <f>G38*1.6</f>
        <v>28.54910143560522</v>
      </c>
      <c r="K38" s="92">
        <f>+SUMIF($E$4:$E$30,"saturdays",$J$4:$J$30)/SUMIF($E$4:$E$30,"saturdays",$H$4:$H$30)</f>
        <v>15.96966520612157</v>
      </c>
      <c r="L38" s="21"/>
      <c r="M38" s="71"/>
      <c r="N38" s="71"/>
      <c r="O38" s="21"/>
      <c r="P38" s="21"/>
    </row>
    <row r="39" spans="1:16" ht="15.75" thickBot="1" x14ac:dyDescent="0.3">
      <c r="A39" s="21"/>
      <c r="B39" s="21"/>
      <c r="C39" s="21"/>
      <c r="D39" s="21"/>
      <c r="E39" s="98">
        <f>COUNTIF($E$4:$E$30, "Sundays")</f>
        <v>8</v>
      </c>
      <c r="F39" s="93" t="s">
        <v>66</v>
      </c>
      <c r="G39" s="129">
        <f>AVERAGEIF($E$4:$E$30,"Sundays",K4:K30)</f>
        <v>20.44005347313745</v>
      </c>
      <c r="H39" s="95">
        <f>G39*1.2</f>
        <v>24.528064167764938</v>
      </c>
      <c r="I39" s="96">
        <f>G39*1.35</f>
        <v>27.594072188735559</v>
      </c>
      <c r="J39" s="97">
        <f>G39*1.6</f>
        <v>32.704085557019923</v>
      </c>
      <c r="K39" s="108">
        <f>+SUMIF($E$4:$E$30,"Sundays",$J$4:$J$30)/SUMIF($E$4:$E$30,"Sundays",$H$4:$H$30)</f>
        <v>20.581364258142017</v>
      </c>
      <c r="L39" s="21"/>
      <c r="M39" s="71"/>
      <c r="N39" s="71"/>
      <c r="O39" s="21"/>
      <c r="P39" s="21"/>
    </row>
    <row r="40" spans="1:16" ht="15.75" thickBot="1" x14ac:dyDescent="0.3">
      <c r="A40" s="21"/>
      <c r="B40" s="21"/>
      <c r="C40" s="21"/>
      <c r="D40" s="21"/>
      <c r="E40" s="21"/>
      <c r="F40" s="104" t="s">
        <v>102</v>
      </c>
      <c r="G40" s="105">
        <v>15</v>
      </c>
      <c r="H40" s="106"/>
      <c r="I40" s="106"/>
      <c r="J40" s="107"/>
      <c r="K40" s="108">
        <f>+SUM($J$4:$J$30)/SUM($H$4:$H$30)</f>
        <v>14.919063063719088</v>
      </c>
      <c r="L40" s="21"/>
      <c r="M40" s="71"/>
      <c r="N40" s="71"/>
      <c r="O40" s="21"/>
      <c r="P40" s="21"/>
    </row>
    <row r="41" spans="1:16" ht="15.75" thickBot="1" x14ac:dyDescent="0.3">
      <c r="E41" s="267" t="s">
        <v>112</v>
      </c>
      <c r="F41" s="267"/>
      <c r="G41" s="267"/>
      <c r="H41" s="267"/>
      <c r="I41" s="267"/>
      <c r="J41" s="267"/>
      <c r="K41" s="267"/>
      <c r="M41" s="71"/>
      <c r="N41" s="71"/>
    </row>
    <row r="42" spans="1:16" ht="36" x14ac:dyDescent="0.25">
      <c r="E42" s="82" t="s">
        <v>63</v>
      </c>
      <c r="F42" s="82" t="s">
        <v>44</v>
      </c>
      <c r="G42" s="83" t="s">
        <v>45</v>
      </c>
      <c r="H42" s="83" t="s">
        <v>46</v>
      </c>
      <c r="I42" s="83" t="s">
        <v>47</v>
      </c>
      <c r="J42" s="84" t="s">
        <v>48</v>
      </c>
      <c r="K42" s="85" t="s">
        <v>62</v>
      </c>
      <c r="M42" s="71"/>
      <c r="N42" s="71"/>
    </row>
    <row r="43" spans="1:16" x14ac:dyDescent="0.25">
      <c r="E43" s="86">
        <f>COUNTIF(E4:E30, "Weekdays")</f>
        <v>10</v>
      </c>
      <c r="F43" s="87" t="s">
        <v>33</v>
      </c>
      <c r="G43" s="229">
        <f>AVERAGEIF($E$4:$E$73,"Weekdays",$M$4:$M$73)</f>
        <v>9.6532671554279206E-2</v>
      </c>
      <c r="H43" s="230">
        <f>G43*0.8</f>
        <v>7.7226137243423365E-2</v>
      </c>
      <c r="I43" s="231">
        <f>G43*0.65</f>
        <v>6.2746236510281481E-2</v>
      </c>
      <c r="J43" s="232">
        <f>G43*0.4</f>
        <v>3.8613068621711683E-2</v>
      </c>
      <c r="K43" s="237">
        <f>+SUMIF($E$4:$E$73,"Weekdays",$G$4:$G$73)/SUMIF($E$4:$E$73,"Weekdays",$F$4:$F$73)</f>
        <v>6.793155554429274E-2</v>
      </c>
      <c r="M43" s="71"/>
      <c r="N43" s="71"/>
    </row>
    <row r="44" spans="1:16" x14ac:dyDescent="0.25">
      <c r="E44" s="86">
        <f>COUNTIF(E4:E30, "Saturdays")</f>
        <v>9</v>
      </c>
      <c r="F44" s="93" t="s">
        <v>65</v>
      </c>
      <c r="G44" s="233">
        <f>AVERAGEIF($E$4:$E$73,"Saturdays",$M$4:$M$73)</f>
        <v>5.5500089335320996E-2</v>
      </c>
      <c r="H44" s="234">
        <f>G44*0.8</f>
        <v>4.4400071468256801E-2</v>
      </c>
      <c r="I44" s="235">
        <f>G44*0.65</f>
        <v>3.6075058067958646E-2</v>
      </c>
      <c r="J44" s="236">
        <f>G44*0.4</f>
        <v>2.22000357341284E-2</v>
      </c>
      <c r="K44" s="237">
        <f>+SUMIF($E$4:$E$73,"Saturdays",$G$4:$G$73)/SUMIF($E$4:$E$73,"Saturdays",$F$4:$F$73)</f>
        <v>4.4273457936045972E-2</v>
      </c>
      <c r="M44" s="71"/>
      <c r="N44" s="71"/>
    </row>
    <row r="45" spans="1:16" ht="15.75" thickBot="1" x14ac:dyDescent="0.3">
      <c r="E45" s="98">
        <f>COUNTIF(E4:E30, "Sundays")</f>
        <v>8</v>
      </c>
      <c r="F45" s="99" t="s">
        <v>66</v>
      </c>
      <c r="G45" s="244">
        <f>AVERAGEIF($E$4:$E$73,"Sundays",$M$4:$M$73)</f>
        <v>5.2038832143942441E-2</v>
      </c>
      <c r="H45" s="245">
        <f>G45*0.8</f>
        <v>4.1631065715153959E-2</v>
      </c>
      <c r="I45" s="246">
        <f>G45*0.65</f>
        <v>3.3825240893562591E-2</v>
      </c>
      <c r="J45" s="247">
        <f>G45*0.4</f>
        <v>2.0815532857576979E-2</v>
      </c>
      <c r="K45" s="237">
        <f>+SUMIF($E$4:$E$73,"Sundays",$G$4:$G$73)/SUMIF($E$4:$E$73,"Sundays",$F$4:$F$73)</f>
        <v>3.5017524526290734E-2</v>
      </c>
      <c r="M45" s="71"/>
      <c r="N45" s="71"/>
    </row>
    <row r="46" spans="1:16" ht="15.75" thickBot="1" x14ac:dyDescent="0.3">
      <c r="E46" s="56"/>
      <c r="F46" s="145" t="s">
        <v>115</v>
      </c>
      <c r="G46" s="239">
        <f>AVERAGE(M:M)</f>
        <v>6.9671784322674832E-2</v>
      </c>
      <c r="H46" s="240">
        <f>G46*0.8</f>
        <v>5.5737427458139865E-2</v>
      </c>
      <c r="I46" s="241">
        <f>G46*0.65</f>
        <v>4.5286659809738644E-2</v>
      </c>
      <c r="J46" s="242">
        <f>G46*0.4</f>
        <v>2.7868713729069933E-2</v>
      </c>
      <c r="K46" s="238">
        <f>+SUM($G$4:$G$73)/SUM($F$4:$F$73)</f>
        <v>6.1704393147702145E-2</v>
      </c>
      <c r="M46" s="71"/>
      <c r="N46" s="71"/>
    </row>
    <row r="47" spans="1:16" x14ac:dyDescent="0.25">
      <c r="M47" s="71"/>
      <c r="N47" s="71"/>
    </row>
    <row r="48" spans="1:16" x14ac:dyDescent="0.25">
      <c r="M48" s="71"/>
      <c r="N48" s="71"/>
    </row>
    <row r="49" spans="13:14" x14ac:dyDescent="0.25">
      <c r="M49" s="71"/>
      <c r="N49" s="71"/>
    </row>
    <row r="50" spans="13:14" x14ac:dyDescent="0.25">
      <c r="M50" s="71"/>
      <c r="N50" s="71"/>
    </row>
    <row r="51" spans="13:14" x14ac:dyDescent="0.25">
      <c r="M51" s="71"/>
      <c r="N51" s="71"/>
    </row>
    <row r="52" spans="13:14" x14ac:dyDescent="0.25">
      <c r="M52" s="71"/>
      <c r="N52" s="71"/>
    </row>
    <row r="53" spans="13:14" x14ac:dyDescent="0.25">
      <c r="M53" s="71"/>
      <c r="N53" s="71"/>
    </row>
    <row r="54" spans="13:14" x14ac:dyDescent="0.25">
      <c r="M54" s="243"/>
      <c r="N54" s="71"/>
    </row>
    <row r="55" spans="13:14" x14ac:dyDescent="0.25">
      <c r="M55" s="243"/>
      <c r="N55" s="71"/>
    </row>
    <row r="56" spans="13:14" x14ac:dyDescent="0.25">
      <c r="M56" s="243"/>
      <c r="N56" s="71"/>
    </row>
    <row r="57" spans="13:14" x14ac:dyDescent="0.25">
      <c r="M57" s="243"/>
      <c r="N57" s="71"/>
    </row>
    <row r="58" spans="13:14" x14ac:dyDescent="0.25">
      <c r="M58" s="243"/>
      <c r="N58" s="71"/>
    </row>
    <row r="59" spans="13:14" x14ac:dyDescent="0.25">
      <c r="M59" s="243"/>
      <c r="N59" s="71"/>
    </row>
    <row r="60" spans="13:14" x14ac:dyDescent="0.25">
      <c r="M60" s="243"/>
      <c r="N60" s="71"/>
    </row>
    <row r="61" spans="13:14" x14ac:dyDescent="0.25">
      <c r="M61" s="243"/>
      <c r="N61" s="71"/>
    </row>
    <row r="62" spans="13:14" x14ac:dyDescent="0.25">
      <c r="M62" s="243"/>
      <c r="N62" s="71"/>
    </row>
    <row r="63" spans="13:14" x14ac:dyDescent="0.25">
      <c r="M63" s="243"/>
      <c r="N63" s="71"/>
    </row>
    <row r="64" spans="13:14" x14ac:dyDescent="0.25">
      <c r="M64" s="243"/>
      <c r="N64" s="71"/>
    </row>
    <row r="65" spans="13:14" x14ac:dyDescent="0.25">
      <c r="M65" s="243"/>
      <c r="N65" s="71"/>
    </row>
    <row r="66" spans="13:14" x14ac:dyDescent="0.25">
      <c r="M66" s="243"/>
      <c r="N66" s="71"/>
    </row>
    <row r="67" spans="13:14" x14ac:dyDescent="0.25">
      <c r="M67" s="243"/>
      <c r="N67" s="71"/>
    </row>
    <row r="68" spans="13:14" x14ac:dyDescent="0.25">
      <c r="M68" s="243"/>
      <c r="N68" s="71"/>
    </row>
    <row r="69" spans="13:14" x14ac:dyDescent="0.25">
      <c r="M69" s="243"/>
      <c r="N69" s="71"/>
    </row>
    <row r="70" spans="13:14" x14ac:dyDescent="0.25">
      <c r="M70" s="243"/>
      <c r="N70" s="71"/>
    </row>
    <row r="71" spans="13:14" x14ac:dyDescent="0.25">
      <c r="M71" s="243"/>
      <c r="N71" s="71"/>
    </row>
    <row r="72" spans="13:14" x14ac:dyDescent="0.25">
      <c r="M72" s="243"/>
      <c r="N72" s="71"/>
    </row>
    <row r="73" spans="13:14" x14ac:dyDescent="0.25">
      <c r="M73" s="243"/>
      <c r="N73" s="71"/>
    </row>
  </sheetData>
  <autoFilter ref="A3:P30" xr:uid="{ECC12A5D-51DF-447F-A92C-EE50EFD3A187}"/>
  <sortState xmlns:xlrd2="http://schemas.microsoft.com/office/spreadsheetml/2017/richdata2" ref="A4:P30">
    <sortCondition ref="E4:E30" customList="Weekday,Wk,Saturday,Sat,Sunday,Sun,Sunday/Holiday,Sunday / Holiday,Reduced"/>
    <sortCondition ref="B4:B30"/>
  </sortState>
  <mergeCells count="3">
    <mergeCell ref="A2:P2"/>
    <mergeCell ref="E35:K35"/>
    <mergeCell ref="E41:K41"/>
  </mergeCells>
  <conditionalFormatting sqref="L1">
    <cfRule type="cellIs" dxfId="68" priority="8" operator="greaterThan">
      <formula>1.6</formula>
    </cfRule>
  </conditionalFormatting>
  <conditionalFormatting sqref="L4:L30">
    <cfRule type="cellIs" dxfId="67" priority="5" operator="greaterThan">
      <formula>1.6</formula>
    </cfRule>
    <cfRule type="cellIs" dxfId="66" priority="6" operator="between">
      <formula>1.35</formula>
      <formula>1.6</formula>
    </cfRule>
    <cfRule type="cellIs" dxfId="65" priority="7" operator="between">
      <formula>1.2</formula>
      <formula>1.35</formula>
    </cfRule>
  </conditionalFormatting>
  <conditionalFormatting sqref="N4:N30">
    <cfRule type="cellIs" dxfId="64" priority="1" operator="lessThan">
      <formula>0.4</formula>
    </cfRule>
    <cfRule type="cellIs" dxfId="63" priority="2" operator="between">
      <formula>0.65</formula>
      <formula>0.4</formula>
    </cfRule>
    <cfRule type="cellIs" dxfId="62" priority="3" operator="between">
      <formula>0.8</formula>
      <formula>0.65</formula>
    </cfRule>
  </conditionalFormatting>
  <conditionalFormatting sqref="O4:O30">
    <cfRule type="cellIs" dxfId="61" priority="20" operator="lessThan">
      <formula>15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99148-0E12-4E72-99D8-E08F9F3D27D6}">
  <dimension ref="A1:T110"/>
  <sheetViews>
    <sheetView workbookViewId="0">
      <pane xSplit="2" ySplit="3" topLeftCell="D89" activePane="bottomRight" state="frozen"/>
      <selection pane="topRight" activeCell="C1" sqref="C1"/>
      <selection pane="bottomLeft" activeCell="A4" sqref="A4"/>
      <selection pane="bottomRight" activeCell="G110" sqref="G110"/>
    </sheetView>
  </sheetViews>
  <sheetFormatPr defaultRowHeight="15" x14ac:dyDescent="0.25"/>
  <cols>
    <col min="1" max="1" width="26" customWidth="1"/>
    <col min="2" max="3" width="10.7109375" customWidth="1"/>
    <col min="4" max="4" width="20.7109375" customWidth="1"/>
    <col min="5" max="5" width="10.7109375" customWidth="1"/>
    <col min="6" max="6" width="12.5703125" customWidth="1"/>
    <col min="7" max="7" width="15.140625" bestFit="1" customWidth="1"/>
    <col min="8" max="8" width="12.5703125" customWidth="1"/>
    <col min="9" max="9" width="14.7109375" customWidth="1"/>
    <col min="10" max="10" width="11.7109375" style="5" customWidth="1"/>
    <col min="11" max="11" width="13.140625" customWidth="1"/>
    <col min="12" max="14" width="14.140625" customWidth="1"/>
    <col min="15" max="15" width="12.28515625" customWidth="1"/>
    <col min="16" max="16" width="52.140625" style="6" customWidth="1"/>
    <col min="17" max="17" width="16.42578125" bestFit="1" customWidth="1"/>
    <col min="18" max="18" width="20.85546875" bestFit="1" customWidth="1"/>
    <col min="19" max="19" width="26.7109375" bestFit="1" customWidth="1"/>
    <col min="20" max="20" width="19.7109375" bestFit="1" customWidth="1"/>
  </cols>
  <sheetData>
    <row r="1" spans="1:20" s="14" customFormat="1" ht="22.5" x14ac:dyDescent="0.45">
      <c r="A1" s="13" t="s">
        <v>51</v>
      </c>
      <c r="J1" s="16"/>
      <c r="M1"/>
      <c r="N1"/>
      <c r="P1" s="17"/>
    </row>
    <row r="2" spans="1:20" s="18" customFormat="1" ht="37.5" thickBot="1" x14ac:dyDescent="0.75">
      <c r="A2" s="269" t="s">
        <v>76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20" ht="75.75" thickBot="1" x14ac:dyDescent="0.3">
      <c r="A3" s="57" t="s">
        <v>8</v>
      </c>
      <c r="B3" s="58" t="s">
        <v>77</v>
      </c>
      <c r="C3" s="58" t="s">
        <v>78</v>
      </c>
      <c r="D3" s="49" t="s">
        <v>0</v>
      </c>
      <c r="E3" s="49" t="s">
        <v>1</v>
      </c>
      <c r="F3" s="51" t="s">
        <v>2</v>
      </c>
      <c r="G3" s="51" t="s">
        <v>38</v>
      </c>
      <c r="H3" s="51" t="s">
        <v>40</v>
      </c>
      <c r="I3" s="52" t="s">
        <v>64</v>
      </c>
      <c r="J3" s="52" t="s">
        <v>39</v>
      </c>
      <c r="K3" s="53" t="s">
        <v>14</v>
      </c>
      <c r="L3" s="54" t="s">
        <v>75</v>
      </c>
      <c r="M3" s="227" t="s">
        <v>112</v>
      </c>
      <c r="N3" s="227" t="s">
        <v>114</v>
      </c>
      <c r="O3" s="54" t="s">
        <v>42</v>
      </c>
      <c r="P3" s="59" t="s">
        <v>43</v>
      </c>
    </row>
    <row r="4" spans="1:20" ht="15.75" thickTop="1" x14ac:dyDescent="0.25">
      <c r="A4" s="60" t="s">
        <v>67</v>
      </c>
      <c r="B4" s="62">
        <v>501</v>
      </c>
      <c r="C4" s="62"/>
      <c r="D4" s="62" t="s">
        <v>20</v>
      </c>
      <c r="E4" s="62" t="s">
        <v>33</v>
      </c>
      <c r="F4" s="110">
        <v>99961.637118081329</v>
      </c>
      <c r="G4" s="110">
        <v>1404.0365726070625</v>
      </c>
      <c r="H4" s="134">
        <v>1052.0774985047176</v>
      </c>
      <c r="I4" s="134">
        <v>178.34000000000023</v>
      </c>
      <c r="J4" s="110">
        <f t="shared" ref="J4:J35" si="0">F4-G4</f>
        <v>98557.60054547427</v>
      </c>
      <c r="K4" s="264">
        <f t="shared" ref="K4:K35" si="1">J4/H4</f>
        <v>93.679030951190271</v>
      </c>
      <c r="L4" s="135">
        <f t="shared" ref="L4:L35" si="2">+IF(E4="Weekdays",K4/$G$101,IF(E4="Saturdays",K4/$G$102,IF(E4="Sundays",K4/$G$103, "NA")))</f>
        <v>2.714687594873753</v>
      </c>
      <c r="M4" s="265">
        <f>(G4/F4)</f>
        <v>1.4045754082123737E-2</v>
      </c>
      <c r="N4" s="66">
        <f t="shared" ref="N4:N35" si="3">+IF(E4="Weekdays",M4/$G$107,IF(E4="Saturdays",M4/$G$108,IF(E4="Sundays",M4/$G$109,"NA")))</f>
        <v>0.22659196778124457</v>
      </c>
      <c r="O4" s="67">
        <f t="shared" ref="O4:O35" si="4">H4/I4</f>
        <v>5.8992794578037246</v>
      </c>
      <c r="P4" s="68"/>
    </row>
    <row r="5" spans="1:20" x14ac:dyDescent="0.25">
      <c r="A5" s="69" t="s">
        <v>67</v>
      </c>
      <c r="B5" s="21">
        <v>515</v>
      </c>
      <c r="C5" s="21"/>
      <c r="D5" s="21" t="s">
        <v>20</v>
      </c>
      <c r="E5" s="21" t="s">
        <v>33</v>
      </c>
      <c r="F5" s="24">
        <v>3425736.54508554</v>
      </c>
      <c r="G5" s="24">
        <v>254842.58307163796</v>
      </c>
      <c r="H5" s="28">
        <v>258033.98560851245</v>
      </c>
      <c r="I5" s="28">
        <v>10229.72000000001</v>
      </c>
      <c r="J5" s="24">
        <f t="shared" si="0"/>
        <v>3170893.9620139021</v>
      </c>
      <c r="K5" s="25">
        <f t="shared" si="1"/>
        <v>12.288667923088095</v>
      </c>
      <c r="L5" s="136">
        <f t="shared" si="2"/>
        <v>0.35610844849272422</v>
      </c>
      <c r="M5" s="71">
        <f t="shared" ref="M5:M30" si="5">G5/F5</f>
        <v>7.4390595925196742E-2</v>
      </c>
      <c r="N5" s="71">
        <f t="shared" si="3"/>
        <v>1.2001001453217146</v>
      </c>
      <c r="O5" s="27">
        <f t="shared" si="4"/>
        <v>25.223953892043202</v>
      </c>
      <c r="P5" s="72"/>
    </row>
    <row r="6" spans="1:20" x14ac:dyDescent="0.25">
      <c r="A6" s="69" t="s">
        <v>67</v>
      </c>
      <c r="B6" s="21">
        <v>612</v>
      </c>
      <c r="C6" s="21"/>
      <c r="D6" s="21" t="s">
        <v>20</v>
      </c>
      <c r="E6" s="21" t="s">
        <v>33</v>
      </c>
      <c r="F6" s="24">
        <v>3632728.3390138932</v>
      </c>
      <c r="G6" s="24">
        <v>166411.30648621093</v>
      </c>
      <c r="H6" s="28">
        <v>166989.69887404927</v>
      </c>
      <c r="I6" s="28">
        <v>11497.649999999972</v>
      </c>
      <c r="J6" s="24">
        <f t="shared" si="0"/>
        <v>3466317.0325276824</v>
      </c>
      <c r="K6" s="25">
        <f t="shared" si="1"/>
        <v>20.757669819754128</v>
      </c>
      <c r="L6" s="136">
        <f t="shared" si="2"/>
        <v>0.6015283055984243</v>
      </c>
      <c r="M6" s="255">
        <f t="shared" si="5"/>
        <v>4.5808904755972865E-2</v>
      </c>
      <c r="N6" s="71">
        <f t="shared" si="3"/>
        <v>0.73900837291250976</v>
      </c>
      <c r="O6" s="27">
        <f t="shared" si="4"/>
        <v>14.523811289615676</v>
      </c>
      <c r="P6" s="72"/>
    </row>
    <row r="7" spans="1:20" x14ac:dyDescent="0.25">
      <c r="A7" s="69" t="s">
        <v>67</v>
      </c>
      <c r="B7" s="21">
        <v>645</v>
      </c>
      <c r="C7" s="21"/>
      <c r="D7" s="21" t="s">
        <v>20</v>
      </c>
      <c r="E7" s="21" t="s">
        <v>33</v>
      </c>
      <c r="F7" s="24">
        <v>2897022.0859672013</v>
      </c>
      <c r="G7" s="24">
        <v>184566.68873234818</v>
      </c>
      <c r="H7" s="28">
        <v>138009.65126424757</v>
      </c>
      <c r="I7" s="28">
        <v>10081.629999999992</v>
      </c>
      <c r="J7" s="24">
        <f t="shared" si="0"/>
        <v>2712455.3972348529</v>
      </c>
      <c r="K7" s="25">
        <f t="shared" si="1"/>
        <v>19.654099350206348</v>
      </c>
      <c r="L7" s="136">
        <f t="shared" si="2"/>
        <v>0.5695483733411052</v>
      </c>
      <c r="M7" s="71">
        <f t="shared" si="5"/>
        <v>6.3709106543013691E-2</v>
      </c>
      <c r="N7" s="71">
        <f t="shared" si="3"/>
        <v>1.0277818999792496</v>
      </c>
      <c r="O7" s="27">
        <f t="shared" si="4"/>
        <v>13.689220023373966</v>
      </c>
      <c r="P7" s="72"/>
    </row>
    <row r="8" spans="1:20" x14ac:dyDescent="0.25">
      <c r="A8" s="69" t="s">
        <v>67</v>
      </c>
      <c r="B8" s="21">
        <v>721</v>
      </c>
      <c r="C8" s="21"/>
      <c r="D8" s="21" t="s">
        <v>20</v>
      </c>
      <c r="E8" s="21" t="s">
        <v>33</v>
      </c>
      <c r="F8" s="137">
        <v>1760182.0194615498</v>
      </c>
      <c r="G8" s="137">
        <v>94321.33048033512</v>
      </c>
      <c r="H8" s="138">
        <v>98364.037805743035</v>
      </c>
      <c r="I8" s="139">
        <v>5889.9499999999834</v>
      </c>
      <c r="J8" s="24">
        <f t="shared" si="0"/>
        <v>1665860.6889812148</v>
      </c>
      <c r="K8" s="25">
        <f t="shared" si="1"/>
        <v>16.935668015897093</v>
      </c>
      <c r="L8" s="136">
        <f t="shared" si="2"/>
        <v>0.49077202664073755</v>
      </c>
      <c r="M8" s="71">
        <f t="shared" si="5"/>
        <v>5.3586123160824346E-2</v>
      </c>
      <c r="N8" s="71">
        <f t="shared" si="3"/>
        <v>0.86447370655825961</v>
      </c>
      <c r="O8" s="27">
        <f t="shared" si="4"/>
        <v>16.700317966322856</v>
      </c>
      <c r="P8" s="72"/>
    </row>
    <row r="9" spans="1:20" x14ac:dyDescent="0.25">
      <c r="A9" s="69" t="s">
        <v>67</v>
      </c>
      <c r="B9" s="21">
        <v>722</v>
      </c>
      <c r="C9" s="21"/>
      <c r="D9" s="21" t="s">
        <v>20</v>
      </c>
      <c r="E9" s="21" t="s">
        <v>33</v>
      </c>
      <c r="F9" s="137">
        <v>1811845.2247316854</v>
      </c>
      <c r="G9" s="137">
        <v>109936.00601305715</v>
      </c>
      <c r="H9" s="138">
        <v>114929.57093318911</v>
      </c>
      <c r="I9" s="139">
        <v>5975.2799999999761</v>
      </c>
      <c r="J9" s="24">
        <f t="shared" si="0"/>
        <v>1701909.2187186282</v>
      </c>
      <c r="K9" s="25">
        <f t="shared" si="1"/>
        <v>14.808279582875867</v>
      </c>
      <c r="L9" s="136">
        <f t="shared" si="2"/>
        <v>0.42912327846346726</v>
      </c>
      <c r="M9" s="71">
        <f t="shared" si="5"/>
        <v>6.0676267769691795E-2</v>
      </c>
      <c r="N9" s="71">
        <f t="shared" si="3"/>
        <v>0.97885487893130907</v>
      </c>
      <c r="O9" s="27">
        <f t="shared" si="4"/>
        <v>19.234173282790024</v>
      </c>
      <c r="P9" s="72"/>
      <c r="Q9" s="2"/>
      <c r="S9" s="2"/>
      <c r="T9" s="2"/>
    </row>
    <row r="10" spans="1:20" x14ac:dyDescent="0.25">
      <c r="A10" s="69" t="s">
        <v>67</v>
      </c>
      <c r="B10" s="21">
        <v>723</v>
      </c>
      <c r="C10" s="21"/>
      <c r="D10" s="21" t="s">
        <v>20</v>
      </c>
      <c r="E10" s="21" t="s">
        <v>33</v>
      </c>
      <c r="F10" s="137">
        <v>1653214.2502919855</v>
      </c>
      <c r="G10" s="137">
        <v>75003.0813904018</v>
      </c>
      <c r="H10" s="138">
        <v>78113.108450861648</v>
      </c>
      <c r="I10" s="139">
        <v>5266.7600000000075</v>
      </c>
      <c r="J10" s="24">
        <f t="shared" si="0"/>
        <v>1578211.1689015836</v>
      </c>
      <c r="K10" s="25">
        <f t="shared" si="1"/>
        <v>20.204178276868646</v>
      </c>
      <c r="L10" s="136">
        <f t="shared" si="2"/>
        <v>0.58548889304171636</v>
      </c>
      <c r="M10" s="255">
        <f t="shared" si="5"/>
        <v>4.536803464956523E-2</v>
      </c>
      <c r="N10" s="71">
        <f t="shared" si="3"/>
        <v>0.73189607232951903</v>
      </c>
      <c r="O10" s="27">
        <f t="shared" si="4"/>
        <v>14.831340036542683</v>
      </c>
      <c r="P10" s="72"/>
      <c r="Q10" s="8"/>
      <c r="S10" s="8"/>
      <c r="T10" s="10"/>
    </row>
    <row r="11" spans="1:20" x14ac:dyDescent="0.25">
      <c r="A11" s="69" t="s">
        <v>67</v>
      </c>
      <c r="B11" s="21">
        <v>724</v>
      </c>
      <c r="C11" s="21"/>
      <c r="D11" s="21" t="s">
        <v>20</v>
      </c>
      <c r="E11" s="21" t="s">
        <v>33</v>
      </c>
      <c r="F11" s="137">
        <v>2855457.3601396275</v>
      </c>
      <c r="G11" s="137">
        <v>204474.32629186896</v>
      </c>
      <c r="H11" s="138">
        <v>211172.78716768901</v>
      </c>
      <c r="I11" s="139">
        <v>8341.8300000000017</v>
      </c>
      <c r="J11" s="24">
        <f t="shared" si="0"/>
        <v>2650983.0338477585</v>
      </c>
      <c r="K11" s="25">
        <f t="shared" si="1"/>
        <v>12.553620518076766</v>
      </c>
      <c r="L11" s="136">
        <f t="shared" si="2"/>
        <v>0.36378640497393627</v>
      </c>
      <c r="M11" s="71">
        <f t="shared" si="5"/>
        <v>7.160825762842786E-2</v>
      </c>
      <c r="N11" s="71">
        <f t="shared" si="3"/>
        <v>1.15521430252454</v>
      </c>
      <c r="O11" s="27">
        <f t="shared" si="4"/>
        <v>25.314923364260476</v>
      </c>
      <c r="P11" s="72"/>
    </row>
    <row r="12" spans="1:20" x14ac:dyDescent="0.25">
      <c r="A12" s="69" t="s">
        <v>67</v>
      </c>
      <c r="B12" s="21">
        <v>515</v>
      </c>
      <c r="C12" s="21"/>
      <c r="D12" s="21" t="s">
        <v>20</v>
      </c>
      <c r="E12" s="21" t="s">
        <v>65</v>
      </c>
      <c r="F12" s="137">
        <v>564724.60533489345</v>
      </c>
      <c r="G12" s="137">
        <v>38207.448471622192</v>
      </c>
      <c r="H12" s="138">
        <v>43268.510032563325</v>
      </c>
      <c r="I12" s="139">
        <v>1537.1199999999983</v>
      </c>
      <c r="J12" s="24">
        <f t="shared" si="0"/>
        <v>526517.15686327126</v>
      </c>
      <c r="K12" s="25">
        <f t="shared" si="1"/>
        <v>12.168599206837056</v>
      </c>
      <c r="L12" s="136">
        <f t="shared" si="2"/>
        <v>0.38555793375685132</v>
      </c>
      <c r="M12" s="71">
        <f t="shared" si="5"/>
        <v>6.7656780155637766E-2</v>
      </c>
      <c r="N12" s="71">
        <f t="shared" si="3"/>
        <v>1.2491803557688348</v>
      </c>
      <c r="O12" s="27">
        <f t="shared" si="4"/>
        <v>28.149077516760808</v>
      </c>
      <c r="P12" s="72"/>
    </row>
    <row r="13" spans="1:20" x14ac:dyDescent="0.25">
      <c r="A13" s="69" t="s">
        <v>67</v>
      </c>
      <c r="B13" s="21">
        <v>612</v>
      </c>
      <c r="C13" s="21"/>
      <c r="D13" s="21" t="s">
        <v>20</v>
      </c>
      <c r="E13" s="21" t="s">
        <v>65</v>
      </c>
      <c r="F13" s="137">
        <v>603344.63452104374</v>
      </c>
      <c r="G13" s="137">
        <v>16621.343868030232</v>
      </c>
      <c r="H13" s="138">
        <v>20915.509002451705</v>
      </c>
      <c r="I13" s="139">
        <v>1949.5199999999991</v>
      </c>
      <c r="J13" s="24">
        <f t="shared" si="0"/>
        <v>586723.29065301351</v>
      </c>
      <c r="K13" s="25">
        <f t="shared" si="1"/>
        <v>28.052068471498259</v>
      </c>
      <c r="L13" s="136">
        <f t="shared" si="2"/>
        <v>0.88882026383116219</v>
      </c>
      <c r="M13" s="71">
        <f t="shared" si="5"/>
        <v>2.7548672710456506E-2</v>
      </c>
      <c r="N13" s="71">
        <f t="shared" si="3"/>
        <v>0.50864467239266975</v>
      </c>
      <c r="O13" s="27">
        <f t="shared" si="4"/>
        <v>10.728542924643868</v>
      </c>
      <c r="P13" s="72"/>
    </row>
    <row r="14" spans="1:20" x14ac:dyDescent="0.25">
      <c r="A14" s="69" t="s">
        <v>67</v>
      </c>
      <c r="B14" s="21">
        <v>645</v>
      </c>
      <c r="C14" s="21"/>
      <c r="D14" s="21" t="s">
        <v>20</v>
      </c>
      <c r="E14" s="21" t="s">
        <v>65</v>
      </c>
      <c r="F14" s="137">
        <v>271090.93557957106</v>
      </c>
      <c r="G14" s="137">
        <v>10759.364728951585</v>
      </c>
      <c r="H14" s="138">
        <v>11875.975802428005</v>
      </c>
      <c r="I14" s="139">
        <v>1030.6900000000007</v>
      </c>
      <c r="J14" s="24">
        <f t="shared" si="0"/>
        <v>260331.57085061946</v>
      </c>
      <c r="K14" s="25">
        <f t="shared" si="1"/>
        <v>21.920857298934166</v>
      </c>
      <c r="L14" s="136">
        <f t="shared" si="2"/>
        <v>0.69455491981420003</v>
      </c>
      <c r="M14" s="255">
        <f t="shared" si="5"/>
        <v>3.9689134961111518E-2</v>
      </c>
      <c r="N14" s="71">
        <f t="shared" si="3"/>
        <v>0.73279998866081464</v>
      </c>
      <c r="O14" s="27">
        <f t="shared" si="4"/>
        <v>11.522354735592659</v>
      </c>
      <c r="P14" s="72"/>
    </row>
    <row r="15" spans="1:20" x14ac:dyDescent="0.25">
      <c r="A15" s="69" t="s">
        <v>67</v>
      </c>
      <c r="B15" s="21">
        <v>721</v>
      </c>
      <c r="C15" s="21"/>
      <c r="D15" s="21" t="s">
        <v>20</v>
      </c>
      <c r="E15" s="21" t="s">
        <v>65</v>
      </c>
      <c r="F15" s="137">
        <v>251867.22388947487</v>
      </c>
      <c r="G15" s="137">
        <v>10490.856526391039</v>
      </c>
      <c r="H15" s="138">
        <v>13005.13620676376</v>
      </c>
      <c r="I15" s="139">
        <v>858</v>
      </c>
      <c r="J15" s="24">
        <f t="shared" si="0"/>
        <v>241376.36736308385</v>
      </c>
      <c r="K15" s="25">
        <f t="shared" si="1"/>
        <v>18.560079919620367</v>
      </c>
      <c r="L15" s="136">
        <f t="shared" si="2"/>
        <v>0.58806982977549205</v>
      </c>
      <c r="M15" s="255">
        <f t="shared" si="5"/>
        <v>4.1652329208959192E-2</v>
      </c>
      <c r="N15" s="71">
        <f t="shared" si="3"/>
        <v>0.76904740811128536</v>
      </c>
      <c r="O15" s="27">
        <f t="shared" si="4"/>
        <v>15.157501406484569</v>
      </c>
      <c r="P15" s="72"/>
    </row>
    <row r="16" spans="1:20" x14ac:dyDescent="0.25">
      <c r="A16" s="69" t="s">
        <v>67</v>
      </c>
      <c r="B16" s="21">
        <v>722</v>
      </c>
      <c r="C16" s="21"/>
      <c r="D16" s="21" t="s">
        <v>20</v>
      </c>
      <c r="E16" s="21" t="s">
        <v>65</v>
      </c>
      <c r="F16" s="137">
        <v>372254.5745752888</v>
      </c>
      <c r="G16" s="137">
        <v>15254.964389046188</v>
      </c>
      <c r="H16" s="138">
        <v>18372.814770917037</v>
      </c>
      <c r="I16" s="139">
        <v>1168.9600000000005</v>
      </c>
      <c r="J16" s="24">
        <f t="shared" si="0"/>
        <v>356999.61018624261</v>
      </c>
      <c r="K16" s="25">
        <f t="shared" si="1"/>
        <v>19.430861010548565</v>
      </c>
      <c r="L16" s="136">
        <f t="shared" si="2"/>
        <v>0.61566023294894656</v>
      </c>
      <c r="M16" s="255">
        <f t="shared" si="5"/>
        <v>4.0979924575677333E-2</v>
      </c>
      <c r="N16" s="71">
        <f t="shared" si="3"/>
        <v>0.75663247117382826</v>
      </c>
      <c r="O16" s="27">
        <f t="shared" si="4"/>
        <v>15.717231360283526</v>
      </c>
      <c r="P16" s="72"/>
    </row>
    <row r="17" spans="1:16" x14ac:dyDescent="0.25">
      <c r="A17" s="69" t="s">
        <v>67</v>
      </c>
      <c r="B17" s="21">
        <v>723</v>
      </c>
      <c r="C17" s="21"/>
      <c r="D17" s="21" t="s">
        <v>20</v>
      </c>
      <c r="E17" s="21" t="s">
        <v>65</v>
      </c>
      <c r="F17" s="137">
        <v>132197.33107180032</v>
      </c>
      <c r="G17" s="137">
        <v>6665.6150231640013</v>
      </c>
      <c r="H17" s="138">
        <v>7931.2060134801177</v>
      </c>
      <c r="I17" s="139">
        <v>437.91000000000031</v>
      </c>
      <c r="J17" s="24">
        <f t="shared" si="0"/>
        <v>125531.71604863631</v>
      </c>
      <c r="K17" s="25">
        <f t="shared" si="1"/>
        <v>15.82756970822329</v>
      </c>
      <c r="L17" s="136">
        <f t="shared" si="2"/>
        <v>0.5014911716104824</v>
      </c>
      <c r="M17" s="71">
        <f t="shared" si="5"/>
        <v>5.0421706468065583E-2</v>
      </c>
      <c r="N17" s="71">
        <f t="shared" si="3"/>
        <v>0.93096072676466834</v>
      </c>
      <c r="O17" s="27">
        <f t="shared" si="4"/>
        <v>18.111497827133686</v>
      </c>
      <c r="P17" s="72"/>
    </row>
    <row r="18" spans="1:16" x14ac:dyDescent="0.25">
      <c r="A18" s="69" t="s">
        <v>67</v>
      </c>
      <c r="B18" s="21">
        <v>724</v>
      </c>
      <c r="C18" s="21"/>
      <c r="D18" s="21" t="s">
        <v>20</v>
      </c>
      <c r="E18" s="21" t="s">
        <v>65</v>
      </c>
      <c r="F18" s="137">
        <v>429586.73679773189</v>
      </c>
      <c r="G18" s="137">
        <v>31183.648222716041</v>
      </c>
      <c r="H18" s="138">
        <v>36275.84048062058</v>
      </c>
      <c r="I18" s="139">
        <v>1255.5900000000008</v>
      </c>
      <c r="J18" s="24">
        <f t="shared" si="0"/>
        <v>398403.08857501583</v>
      </c>
      <c r="K18" s="25">
        <f t="shared" si="1"/>
        <v>10.982601182951289</v>
      </c>
      <c r="L18" s="136">
        <f t="shared" si="2"/>
        <v>0.34797998910138245</v>
      </c>
      <c r="M18" s="71">
        <f t="shared" si="5"/>
        <v>7.258987662228189E-2</v>
      </c>
      <c r="N18" s="71">
        <f t="shared" si="3"/>
        <v>1.340262538294646</v>
      </c>
      <c r="O18" s="27">
        <f t="shared" si="4"/>
        <v>28.891469731855587</v>
      </c>
      <c r="P18" s="72"/>
    </row>
    <row r="19" spans="1:16" x14ac:dyDescent="0.25">
      <c r="A19" s="69" t="s">
        <v>67</v>
      </c>
      <c r="B19" s="21">
        <v>515</v>
      </c>
      <c r="C19" s="21"/>
      <c r="D19" s="21" t="s">
        <v>20</v>
      </c>
      <c r="E19" s="21" t="s">
        <v>66</v>
      </c>
      <c r="F19" s="137">
        <v>555116.90866589162</v>
      </c>
      <c r="G19" s="137">
        <v>34144.163770735075</v>
      </c>
      <c r="H19" s="138">
        <v>36995.628155340142</v>
      </c>
      <c r="I19" s="139">
        <v>1543.3799999999985</v>
      </c>
      <c r="J19" s="24">
        <f t="shared" si="0"/>
        <v>520972.74489515653</v>
      </c>
      <c r="K19" s="25">
        <f t="shared" si="1"/>
        <v>14.082008358059372</v>
      </c>
      <c r="L19" s="136">
        <f t="shared" si="2"/>
        <v>0.33436866655061054</v>
      </c>
      <c r="M19" s="71">
        <f t="shared" si="5"/>
        <v>6.1508059361393787E-2</v>
      </c>
      <c r="N19" s="71">
        <f t="shared" si="3"/>
        <v>1.3270188248259613</v>
      </c>
      <c r="O19" s="27">
        <f t="shared" si="4"/>
        <v>23.970524534035803</v>
      </c>
      <c r="P19" s="72"/>
    </row>
    <row r="20" spans="1:16" x14ac:dyDescent="0.25">
      <c r="A20" s="69" t="s">
        <v>67</v>
      </c>
      <c r="B20" s="22">
        <v>612</v>
      </c>
      <c r="C20" s="22"/>
      <c r="D20" s="21" t="s">
        <v>20</v>
      </c>
      <c r="E20" s="22" t="s">
        <v>66</v>
      </c>
      <c r="F20" s="24">
        <v>435272.33045423572</v>
      </c>
      <c r="G20" s="24">
        <v>13313.719337731971</v>
      </c>
      <c r="H20" s="29">
        <v>16730.115548004225</v>
      </c>
      <c r="I20" s="30">
        <v>1315.3199999999997</v>
      </c>
      <c r="J20" s="24">
        <f t="shared" si="0"/>
        <v>421958.61111650377</v>
      </c>
      <c r="K20" s="25">
        <f t="shared" si="1"/>
        <v>25.221500108936201</v>
      </c>
      <c r="L20" s="136">
        <f t="shared" si="2"/>
        <v>0.59886907786165089</v>
      </c>
      <c r="M20" s="255">
        <f t="shared" si="5"/>
        <v>3.0587102386770638E-2</v>
      </c>
      <c r="N20" s="71">
        <f t="shared" si="3"/>
        <v>0.65990800369163138</v>
      </c>
      <c r="O20" s="27">
        <f t="shared" si="4"/>
        <v>12.719426107718448</v>
      </c>
      <c r="P20" s="72"/>
    </row>
    <row r="21" spans="1:16" x14ac:dyDescent="0.25">
      <c r="A21" s="69" t="s">
        <v>67</v>
      </c>
      <c r="B21" s="22">
        <v>645</v>
      </c>
      <c r="C21" s="22"/>
      <c r="D21" s="21" t="s">
        <v>20</v>
      </c>
      <c r="E21" s="22" t="s">
        <v>66</v>
      </c>
      <c r="F21" s="24">
        <v>226038.74063644625</v>
      </c>
      <c r="G21" s="24">
        <v>7300.204810004826</v>
      </c>
      <c r="H21" s="29">
        <v>8182.2462878757979</v>
      </c>
      <c r="I21" s="30">
        <v>846.14999999999952</v>
      </c>
      <c r="J21" s="24">
        <f t="shared" si="0"/>
        <v>218738.53582644142</v>
      </c>
      <c r="K21" s="25">
        <f t="shared" si="1"/>
        <v>26.733311138600349</v>
      </c>
      <c r="L21" s="136">
        <f t="shared" si="2"/>
        <v>0.63476610513304854</v>
      </c>
      <c r="M21" s="255">
        <f t="shared" si="5"/>
        <v>3.2296255011198503E-2</v>
      </c>
      <c r="N21" s="71">
        <f t="shared" si="3"/>
        <v>0.69678248372993445</v>
      </c>
      <c r="O21" s="27">
        <f t="shared" si="4"/>
        <v>9.6699713855413378</v>
      </c>
      <c r="P21" s="72"/>
    </row>
    <row r="22" spans="1:16" x14ac:dyDescent="0.25">
      <c r="A22" s="69" t="s">
        <v>67</v>
      </c>
      <c r="B22" s="21">
        <v>721</v>
      </c>
      <c r="C22" s="21"/>
      <c r="D22" s="21" t="s">
        <v>20</v>
      </c>
      <c r="E22" s="21" t="s">
        <v>66</v>
      </c>
      <c r="F22" s="24">
        <v>297071.22875832167</v>
      </c>
      <c r="G22" s="24">
        <v>11625.776663415021</v>
      </c>
      <c r="H22" s="28">
        <v>13338.467691438524</v>
      </c>
      <c r="I22" s="28">
        <v>957</v>
      </c>
      <c r="J22" s="24">
        <f t="shared" si="0"/>
        <v>285445.45209490665</v>
      </c>
      <c r="K22" s="25">
        <f t="shared" si="1"/>
        <v>21.400168197590169</v>
      </c>
      <c r="L22" s="136">
        <f t="shared" si="2"/>
        <v>0.50813389129198805</v>
      </c>
      <c r="M22" s="71">
        <f t="shared" si="5"/>
        <v>3.9134643607217232E-2</v>
      </c>
      <c r="N22" s="71">
        <f t="shared" si="3"/>
        <v>0.84431876584661336</v>
      </c>
      <c r="O22" s="27">
        <f t="shared" si="4"/>
        <v>13.937792781022491</v>
      </c>
      <c r="P22" s="72"/>
    </row>
    <row r="23" spans="1:16" x14ac:dyDescent="0.25">
      <c r="A23" s="69" t="s">
        <v>67</v>
      </c>
      <c r="B23" s="21">
        <v>722</v>
      </c>
      <c r="C23" s="21"/>
      <c r="D23" s="21" t="s">
        <v>20</v>
      </c>
      <c r="E23" s="21" t="s">
        <v>66</v>
      </c>
      <c r="F23" s="24">
        <v>381839.39577603008</v>
      </c>
      <c r="G23" s="24">
        <v>15978.281501893092</v>
      </c>
      <c r="H23" s="28">
        <v>18682.188055130802</v>
      </c>
      <c r="I23" s="28">
        <v>1219.1599999999994</v>
      </c>
      <c r="J23" s="24">
        <f t="shared" si="0"/>
        <v>365861.11427413701</v>
      </c>
      <c r="K23" s="25">
        <f t="shared" si="1"/>
        <v>19.583418879763304</v>
      </c>
      <c r="L23" s="136">
        <f t="shared" si="2"/>
        <v>0.46499629107100549</v>
      </c>
      <c r="M23" s="71">
        <f t="shared" si="5"/>
        <v>4.184555516965368E-2</v>
      </c>
      <c r="N23" s="71">
        <f t="shared" si="3"/>
        <v>0.90280590904608637</v>
      </c>
      <c r="O23" s="27">
        <f t="shared" si="4"/>
        <v>15.323819724343656</v>
      </c>
      <c r="P23" s="72"/>
    </row>
    <row r="24" spans="1:16" x14ac:dyDescent="0.25">
      <c r="A24" s="69" t="s">
        <v>67</v>
      </c>
      <c r="B24" s="21">
        <v>723</v>
      </c>
      <c r="C24" s="21"/>
      <c r="D24" s="21" t="s">
        <v>20</v>
      </c>
      <c r="E24" s="21" t="s">
        <v>66</v>
      </c>
      <c r="F24" s="24">
        <v>137862.12884806847</v>
      </c>
      <c r="G24" s="24">
        <v>5740.3645468367595</v>
      </c>
      <c r="H24" s="28">
        <v>6793.7123220274925</v>
      </c>
      <c r="I24" s="28">
        <v>441.04000000000048</v>
      </c>
      <c r="J24" s="24">
        <f t="shared" si="0"/>
        <v>132121.76430123171</v>
      </c>
      <c r="K24" s="25">
        <f t="shared" si="1"/>
        <v>19.447653659524068</v>
      </c>
      <c r="L24" s="136">
        <f t="shared" si="2"/>
        <v>0.46177262904062732</v>
      </c>
      <c r="M24" s="71">
        <f t="shared" si="5"/>
        <v>4.163844410935328E-2</v>
      </c>
      <c r="N24" s="71">
        <f t="shared" si="3"/>
        <v>0.89833754703463908</v>
      </c>
      <c r="O24" s="27">
        <f t="shared" si="4"/>
        <v>15.403846186349277</v>
      </c>
      <c r="P24" s="72"/>
    </row>
    <row r="25" spans="1:16" x14ac:dyDescent="0.25">
      <c r="A25" s="69" t="s">
        <v>67</v>
      </c>
      <c r="B25" s="21">
        <v>724</v>
      </c>
      <c r="C25" s="21"/>
      <c r="D25" s="21" t="s">
        <v>20</v>
      </c>
      <c r="E25" s="21" t="s">
        <v>66</v>
      </c>
      <c r="F25" s="24">
        <v>463883.30248283205</v>
      </c>
      <c r="G25" s="24">
        <v>28696.113880375822</v>
      </c>
      <c r="H25" s="28">
        <v>33897.728669644071</v>
      </c>
      <c r="I25" s="28">
        <v>1312.7799999999995</v>
      </c>
      <c r="J25" s="24">
        <f t="shared" si="0"/>
        <v>435187.18860245624</v>
      </c>
      <c r="K25" s="25">
        <f t="shared" si="1"/>
        <v>12.838240368363468</v>
      </c>
      <c r="L25" s="136">
        <f t="shared" si="2"/>
        <v>0.30483615715006473</v>
      </c>
      <c r="M25" s="71">
        <f t="shared" si="5"/>
        <v>6.1860631169059682E-2</v>
      </c>
      <c r="N25" s="71">
        <f t="shared" si="3"/>
        <v>1.3346254609437842</v>
      </c>
      <c r="O25" s="27">
        <f t="shared" si="4"/>
        <v>25.821332340258142</v>
      </c>
      <c r="P25" s="72"/>
    </row>
    <row r="26" spans="1:16" x14ac:dyDescent="0.25">
      <c r="A26" s="69" t="s">
        <v>68</v>
      </c>
      <c r="B26" s="21">
        <v>219</v>
      </c>
      <c r="C26" s="21"/>
      <c r="D26" s="21" t="s">
        <v>20</v>
      </c>
      <c r="E26" s="21" t="s">
        <v>33</v>
      </c>
      <c r="F26" s="24">
        <v>919838.63330162247</v>
      </c>
      <c r="G26" s="24">
        <v>65973.479609260772</v>
      </c>
      <c r="H26" s="28">
        <v>57178</v>
      </c>
      <c r="I26" s="28">
        <v>7412.9000000000005</v>
      </c>
      <c r="J26" s="24">
        <f t="shared" si="0"/>
        <v>853865.15369236167</v>
      </c>
      <c r="K26" s="25">
        <f t="shared" si="1"/>
        <v>14.933456114106153</v>
      </c>
      <c r="L26" s="136">
        <f t="shared" si="2"/>
        <v>0.43275071966401985</v>
      </c>
      <c r="M26" s="71">
        <f t="shared" si="5"/>
        <v>7.1722884015491817E-2</v>
      </c>
      <c r="N26" s="71">
        <f t="shared" si="3"/>
        <v>1.1570635032475924</v>
      </c>
      <c r="O26" s="27">
        <f t="shared" si="4"/>
        <v>7.7133105802047774</v>
      </c>
      <c r="P26" s="72"/>
    </row>
    <row r="27" spans="1:16" x14ac:dyDescent="0.25">
      <c r="A27" s="69" t="s">
        <v>68</v>
      </c>
      <c r="B27" s="21">
        <v>225</v>
      </c>
      <c r="C27" s="21"/>
      <c r="D27" s="21" t="s">
        <v>20</v>
      </c>
      <c r="E27" s="21" t="s">
        <v>33</v>
      </c>
      <c r="F27" s="24">
        <v>180774.00794493131</v>
      </c>
      <c r="G27" s="24">
        <v>9012.2552842720779</v>
      </c>
      <c r="H27" s="28">
        <v>8620</v>
      </c>
      <c r="I27" s="28">
        <v>1590.104</v>
      </c>
      <c r="J27" s="24">
        <f t="shared" si="0"/>
        <v>171761.75266065923</v>
      </c>
      <c r="K27" s="25">
        <f t="shared" si="1"/>
        <v>19.925957385227289</v>
      </c>
      <c r="L27" s="136">
        <f t="shared" si="2"/>
        <v>0.57742643983842656</v>
      </c>
      <c r="M27" s="71">
        <f t="shared" si="5"/>
        <v>4.9853711751622259E-2</v>
      </c>
      <c r="N27" s="71">
        <f t="shared" si="3"/>
        <v>0.80426088773519278</v>
      </c>
      <c r="O27" s="27">
        <f t="shared" si="4"/>
        <v>5.421029064765575</v>
      </c>
      <c r="P27" s="72"/>
    </row>
    <row r="28" spans="1:16" x14ac:dyDescent="0.25">
      <c r="A28" s="69" t="s">
        <v>68</v>
      </c>
      <c r="B28" s="21">
        <v>227</v>
      </c>
      <c r="C28" s="21"/>
      <c r="D28" s="21" t="s">
        <v>20</v>
      </c>
      <c r="E28" s="21" t="s">
        <v>33</v>
      </c>
      <c r="F28" s="24">
        <v>164296.46062766205</v>
      </c>
      <c r="G28" s="24">
        <v>8248.1496162456751</v>
      </c>
      <c r="H28" s="28">
        <v>6481</v>
      </c>
      <c r="I28" s="28">
        <v>1438.75</v>
      </c>
      <c r="J28" s="24">
        <f t="shared" si="0"/>
        <v>156048.31101141637</v>
      </c>
      <c r="K28" s="25">
        <f t="shared" si="1"/>
        <v>24.077813765069646</v>
      </c>
      <c r="L28" s="136">
        <f t="shared" si="2"/>
        <v>0.69774144412074068</v>
      </c>
      <c r="M28" s="71">
        <f t="shared" si="5"/>
        <v>5.0202844204526711E-2</v>
      </c>
      <c r="N28" s="71">
        <f t="shared" si="3"/>
        <v>0.809893238199067</v>
      </c>
      <c r="O28" s="27">
        <f t="shared" si="4"/>
        <v>4.5046046915725455</v>
      </c>
      <c r="P28" s="72"/>
    </row>
    <row r="29" spans="1:16" x14ac:dyDescent="0.25">
      <c r="A29" s="69" t="s">
        <v>68</v>
      </c>
      <c r="B29" s="21">
        <v>323</v>
      </c>
      <c r="C29" s="21"/>
      <c r="D29" s="21" t="s">
        <v>20</v>
      </c>
      <c r="E29" s="21" t="s">
        <v>33</v>
      </c>
      <c r="F29" s="24">
        <v>656056.58373475459</v>
      </c>
      <c r="G29" s="24">
        <v>40654.20442251741</v>
      </c>
      <c r="H29" s="28">
        <v>41038</v>
      </c>
      <c r="I29" s="28">
        <v>4994.05</v>
      </c>
      <c r="J29" s="24">
        <f t="shared" si="0"/>
        <v>615402.37931223714</v>
      </c>
      <c r="K29" s="25">
        <f t="shared" si="1"/>
        <v>14.995915476198576</v>
      </c>
      <c r="L29" s="136">
        <f t="shared" si="2"/>
        <v>0.43456070482008291</v>
      </c>
      <c r="M29" s="71">
        <f t="shared" si="5"/>
        <v>6.1967527543255345E-2</v>
      </c>
      <c r="N29" s="71">
        <f t="shared" si="3"/>
        <v>0.99968602059147182</v>
      </c>
      <c r="O29" s="27">
        <f t="shared" si="4"/>
        <v>8.2173786806299489</v>
      </c>
      <c r="P29" s="72"/>
    </row>
    <row r="30" spans="1:16" x14ac:dyDescent="0.25">
      <c r="A30" s="69" t="s">
        <v>68</v>
      </c>
      <c r="B30" s="22">
        <v>534</v>
      </c>
      <c r="C30" s="22"/>
      <c r="D30" s="21" t="s">
        <v>20</v>
      </c>
      <c r="E30" s="22" t="s">
        <v>33</v>
      </c>
      <c r="F30" s="24">
        <v>181597.42641962666</v>
      </c>
      <c r="G30" s="24">
        <v>13999.10208831574</v>
      </c>
      <c r="H30" s="29">
        <v>11211</v>
      </c>
      <c r="I30" s="30">
        <v>1682.45</v>
      </c>
      <c r="J30" s="24">
        <f t="shared" si="0"/>
        <v>167598.32433131093</v>
      </c>
      <c r="K30" s="25">
        <f t="shared" si="1"/>
        <v>14.949453601936574</v>
      </c>
      <c r="L30" s="136">
        <f t="shared" si="2"/>
        <v>0.43321430453804582</v>
      </c>
      <c r="M30" s="71">
        <f t="shared" si="5"/>
        <v>7.7088659042817503E-2</v>
      </c>
      <c r="N30" s="71">
        <f t="shared" si="3"/>
        <v>1.2436264257510277</v>
      </c>
      <c r="O30" s="27">
        <f t="shared" si="4"/>
        <v>6.6634966863799816</v>
      </c>
      <c r="P30" s="72"/>
    </row>
    <row r="31" spans="1:16" x14ac:dyDescent="0.25">
      <c r="A31" s="69" t="s">
        <v>68</v>
      </c>
      <c r="B31" s="21">
        <v>537</v>
      </c>
      <c r="C31" s="21"/>
      <c r="D31" s="21" t="s">
        <v>20</v>
      </c>
      <c r="E31" s="21" t="s">
        <v>33</v>
      </c>
      <c r="F31" s="24">
        <v>95349.484038944778</v>
      </c>
      <c r="G31" s="24">
        <v>9446.0391231070735</v>
      </c>
      <c r="H31" s="28">
        <v>5306</v>
      </c>
      <c r="I31" s="28">
        <v>776.70999999999992</v>
      </c>
      <c r="J31" s="24">
        <f t="shared" si="0"/>
        <v>85903.44491583771</v>
      </c>
      <c r="K31" s="25">
        <f t="shared" si="1"/>
        <v>16.189869000346345</v>
      </c>
      <c r="L31" s="136">
        <f t="shared" si="2"/>
        <v>0.46915981187690675</v>
      </c>
      <c r="M31" s="71">
        <f t="shared" ref="M31:M94" si="6">G31/F31</f>
        <v>9.9067543136876435E-2</v>
      </c>
      <c r="N31" s="71">
        <f t="shared" si="3"/>
        <v>1.5981989583035621</v>
      </c>
      <c r="O31" s="27">
        <f t="shared" si="4"/>
        <v>6.8313785067785924</v>
      </c>
      <c r="P31" s="72"/>
    </row>
    <row r="32" spans="1:16" x14ac:dyDescent="0.25">
      <c r="A32" s="69" t="s">
        <v>68</v>
      </c>
      <c r="B32" s="22">
        <v>538</v>
      </c>
      <c r="C32" s="22"/>
      <c r="D32" s="21" t="s">
        <v>20</v>
      </c>
      <c r="E32" s="22" t="s">
        <v>33</v>
      </c>
      <c r="F32" s="24">
        <v>728123.33266103303</v>
      </c>
      <c r="G32" s="24">
        <v>65560.421657963278</v>
      </c>
      <c r="H32" s="29">
        <v>60358</v>
      </c>
      <c r="I32" s="30">
        <v>6970.1500000000005</v>
      </c>
      <c r="J32" s="24">
        <f t="shared" si="0"/>
        <v>662562.91100306972</v>
      </c>
      <c r="K32" s="25">
        <f t="shared" si="1"/>
        <v>10.977217783940318</v>
      </c>
      <c r="L32" s="136">
        <f t="shared" si="2"/>
        <v>0.31810445349095173</v>
      </c>
      <c r="M32" s="71">
        <f t="shared" si="6"/>
        <v>9.0040270263504876E-2</v>
      </c>
      <c r="N32" s="71">
        <f t="shared" si="3"/>
        <v>1.4525672241783816</v>
      </c>
      <c r="O32" s="27">
        <f t="shared" si="4"/>
        <v>8.6594980021950736</v>
      </c>
      <c r="P32" s="72"/>
    </row>
    <row r="33" spans="1:16" x14ac:dyDescent="0.25">
      <c r="A33" s="69" t="s">
        <v>68</v>
      </c>
      <c r="B33" s="21">
        <v>539</v>
      </c>
      <c r="C33" s="21"/>
      <c r="D33" s="21" t="s">
        <v>20</v>
      </c>
      <c r="E33" s="21" t="s">
        <v>33</v>
      </c>
      <c r="F33" s="24">
        <v>682984.02010350511</v>
      </c>
      <c r="G33" s="24">
        <v>118952.31353437145</v>
      </c>
      <c r="H33" s="28">
        <v>92119</v>
      </c>
      <c r="I33" s="28">
        <v>6046.7</v>
      </c>
      <c r="J33" s="24">
        <f t="shared" si="0"/>
        <v>564031.70656913368</v>
      </c>
      <c r="K33" s="25">
        <f t="shared" si="1"/>
        <v>6.122859633399556</v>
      </c>
      <c r="L33" s="136">
        <f t="shared" si="2"/>
        <v>0.17743192818255599</v>
      </c>
      <c r="M33" s="71">
        <f t="shared" si="6"/>
        <v>0.17416558811484992</v>
      </c>
      <c r="N33" s="71">
        <f t="shared" si="3"/>
        <v>2.8097119670455242</v>
      </c>
      <c r="O33" s="27">
        <f t="shared" si="4"/>
        <v>15.234590768518366</v>
      </c>
      <c r="P33" s="72"/>
    </row>
    <row r="34" spans="1:16" x14ac:dyDescent="0.25">
      <c r="A34" s="69" t="s">
        <v>68</v>
      </c>
      <c r="B34" s="21">
        <v>540</v>
      </c>
      <c r="C34" s="21"/>
      <c r="D34" s="21" t="s">
        <v>20</v>
      </c>
      <c r="E34" s="21" t="s">
        <v>33</v>
      </c>
      <c r="F34" s="24">
        <v>1196283.9292857379</v>
      </c>
      <c r="G34" s="24">
        <v>115931.82550986993</v>
      </c>
      <c r="H34" s="28">
        <v>101197</v>
      </c>
      <c r="I34" s="28">
        <v>8372.6</v>
      </c>
      <c r="J34" s="24">
        <f t="shared" si="0"/>
        <v>1080352.103775868</v>
      </c>
      <c r="K34" s="25">
        <f t="shared" si="1"/>
        <v>10.675732519500261</v>
      </c>
      <c r="L34" s="136">
        <f t="shared" si="2"/>
        <v>0.30936783122765049</v>
      </c>
      <c r="M34" s="71">
        <f t="shared" si="6"/>
        <v>9.6909958139359972E-2</v>
      </c>
      <c r="N34" s="71">
        <f t="shared" si="3"/>
        <v>1.5633918965122149</v>
      </c>
      <c r="O34" s="27">
        <f t="shared" si="4"/>
        <v>12.086687528366337</v>
      </c>
      <c r="P34" s="72"/>
    </row>
    <row r="35" spans="1:16" x14ac:dyDescent="0.25">
      <c r="A35" s="69" t="s">
        <v>68</v>
      </c>
      <c r="B35" s="21">
        <v>542</v>
      </c>
      <c r="C35" s="21"/>
      <c r="D35" s="21" t="s">
        <v>20</v>
      </c>
      <c r="E35" s="21" t="s">
        <v>33</v>
      </c>
      <c r="F35" s="24">
        <v>355745.10181991558</v>
      </c>
      <c r="G35" s="24">
        <v>19198.943125975515</v>
      </c>
      <c r="H35" s="28">
        <v>16673</v>
      </c>
      <c r="I35" s="28">
        <v>2262.1999999999998</v>
      </c>
      <c r="J35" s="24">
        <f t="shared" si="0"/>
        <v>336546.15869394009</v>
      </c>
      <c r="K35" s="25">
        <f t="shared" si="1"/>
        <v>20.185099183946505</v>
      </c>
      <c r="L35" s="136">
        <f t="shared" si="2"/>
        <v>0.58493600755228203</v>
      </c>
      <c r="M35" s="71">
        <f t="shared" si="6"/>
        <v>5.3968257124997206E-2</v>
      </c>
      <c r="N35" s="71">
        <f t="shared" si="3"/>
        <v>0.87063845117728855</v>
      </c>
      <c r="O35" s="27">
        <f t="shared" si="4"/>
        <v>7.3702590398726908</v>
      </c>
      <c r="P35" s="72"/>
    </row>
    <row r="36" spans="1:16" x14ac:dyDescent="0.25">
      <c r="A36" s="69" t="s">
        <v>68</v>
      </c>
      <c r="B36" s="22">
        <v>546</v>
      </c>
      <c r="C36" s="22"/>
      <c r="D36" s="21" t="s">
        <v>20</v>
      </c>
      <c r="E36" s="22" t="s">
        <v>33</v>
      </c>
      <c r="F36" s="24">
        <v>412603.22184125206</v>
      </c>
      <c r="G36" s="24">
        <v>36640.179283330472</v>
      </c>
      <c r="H36" s="29">
        <v>30752</v>
      </c>
      <c r="I36" s="30">
        <v>3180.21</v>
      </c>
      <c r="J36" s="24">
        <f t="shared" ref="J36:J67" si="7">F36-G36</f>
        <v>375963.04255792161</v>
      </c>
      <c r="K36" s="25">
        <f t="shared" ref="K36:K67" si="8">J36/H36</f>
        <v>12.225645244469355</v>
      </c>
      <c r="L36" s="136">
        <f t="shared" ref="L36:L67" si="9">+IF(E36="Weekdays",K36/$G$101,IF(E36="Saturdays",K36/$G$102,IF(E36="Sundays",K36/$G$103, "NA")))</f>
        <v>0.35428213920979462</v>
      </c>
      <c r="M36" s="71">
        <f t="shared" si="6"/>
        <v>8.8802455588743986E-2</v>
      </c>
      <c r="N36" s="71">
        <f t="shared" ref="N36:N67" si="10">+IF(E36="Weekdays",M36/$G$107,IF(E36="Saturdays",M36/$G$108,IF(E36="Sundays",M36/$G$109,"NA")))</f>
        <v>1.4325982811609654</v>
      </c>
      <c r="O36" s="27">
        <f t="shared" ref="O36:O67" si="11">H36/I36</f>
        <v>9.6698016797632853</v>
      </c>
      <c r="P36" s="72"/>
    </row>
    <row r="37" spans="1:16" x14ac:dyDescent="0.25">
      <c r="A37" s="69" t="s">
        <v>68</v>
      </c>
      <c r="B37" s="22">
        <v>615</v>
      </c>
      <c r="C37" s="22"/>
      <c r="D37" s="21" t="s">
        <v>20</v>
      </c>
      <c r="E37" s="22" t="s">
        <v>33</v>
      </c>
      <c r="F37" s="24">
        <v>402512.78773681901</v>
      </c>
      <c r="G37" s="24">
        <v>19893.043747909385</v>
      </c>
      <c r="H37" s="29">
        <v>15909</v>
      </c>
      <c r="I37" s="30">
        <v>4216.1559999999999</v>
      </c>
      <c r="J37" s="24">
        <f t="shared" si="7"/>
        <v>382619.74398890964</v>
      </c>
      <c r="K37" s="25">
        <f t="shared" si="8"/>
        <v>24.050521339424833</v>
      </c>
      <c r="L37" s="136">
        <f t="shared" si="9"/>
        <v>0.69695054771009579</v>
      </c>
      <c r="M37" s="255">
        <f t="shared" si="6"/>
        <v>4.9422140995223122E-2</v>
      </c>
      <c r="N37" s="71">
        <f t="shared" si="10"/>
        <v>0.79729860814824061</v>
      </c>
      <c r="O37" s="27">
        <f t="shared" si="11"/>
        <v>3.7733423526074463</v>
      </c>
      <c r="P37" s="72"/>
    </row>
    <row r="38" spans="1:16" x14ac:dyDescent="0.25">
      <c r="A38" s="69" t="s">
        <v>68</v>
      </c>
      <c r="B38" s="22">
        <v>705</v>
      </c>
      <c r="C38" s="22"/>
      <c r="D38" s="21" t="s">
        <v>20</v>
      </c>
      <c r="E38" s="22" t="s">
        <v>33</v>
      </c>
      <c r="F38" s="24">
        <v>666383.37506886863</v>
      </c>
      <c r="G38" s="24">
        <v>23675.334657295811</v>
      </c>
      <c r="H38" s="29">
        <v>23749</v>
      </c>
      <c r="I38" s="30">
        <v>4541.2</v>
      </c>
      <c r="J38" s="24">
        <f t="shared" si="7"/>
        <v>642708.04041157279</v>
      </c>
      <c r="K38" s="25">
        <f t="shared" si="8"/>
        <v>27.062530650198863</v>
      </c>
      <c r="L38" s="136">
        <f t="shared" si="9"/>
        <v>0.78423437450227085</v>
      </c>
      <c r="M38" s="256">
        <f t="shared" si="6"/>
        <v>3.5528099203929027E-2</v>
      </c>
      <c r="N38" s="71">
        <f t="shared" si="10"/>
        <v>0.57315412636986152</v>
      </c>
      <c r="O38" s="27">
        <f t="shared" si="11"/>
        <v>5.2296749757773275</v>
      </c>
      <c r="P38" s="72"/>
    </row>
    <row r="39" spans="1:16" x14ac:dyDescent="0.25">
      <c r="A39" s="69" t="s">
        <v>68</v>
      </c>
      <c r="B39" s="22">
        <v>716</v>
      </c>
      <c r="C39" s="22"/>
      <c r="D39" s="21" t="s">
        <v>20</v>
      </c>
      <c r="E39" s="22" t="s">
        <v>33</v>
      </c>
      <c r="F39" s="24">
        <v>318488.76839713589</v>
      </c>
      <c r="G39" s="24">
        <v>23225.753899635267</v>
      </c>
      <c r="H39" s="29">
        <v>21523</v>
      </c>
      <c r="I39" s="30">
        <v>3009.51</v>
      </c>
      <c r="J39" s="24">
        <f t="shared" si="7"/>
        <v>295263.01449750061</v>
      </c>
      <c r="K39" s="25">
        <f t="shared" si="8"/>
        <v>13.718487873321591</v>
      </c>
      <c r="L39" s="136">
        <f t="shared" si="9"/>
        <v>0.39754263544352936</v>
      </c>
      <c r="M39" s="71">
        <f t="shared" si="6"/>
        <v>7.2924875864615046E-2</v>
      </c>
      <c r="N39" s="71">
        <f t="shared" si="10"/>
        <v>1.1764545374887863</v>
      </c>
      <c r="O39" s="27">
        <f t="shared" si="11"/>
        <v>7.1516625630085953</v>
      </c>
      <c r="P39" s="72"/>
    </row>
    <row r="40" spans="1:16" x14ac:dyDescent="0.25">
      <c r="A40" s="69" t="s">
        <v>68</v>
      </c>
      <c r="B40" s="21">
        <v>717</v>
      </c>
      <c r="C40" s="21"/>
      <c r="D40" s="21" t="s">
        <v>20</v>
      </c>
      <c r="E40" s="21" t="s">
        <v>33</v>
      </c>
      <c r="F40" s="24">
        <v>339564.66225806501</v>
      </c>
      <c r="G40" s="24">
        <v>20726.567756858825</v>
      </c>
      <c r="H40" s="28">
        <v>27526</v>
      </c>
      <c r="I40" s="28">
        <v>3219.0200000000004</v>
      </c>
      <c r="J40" s="24">
        <f t="shared" si="7"/>
        <v>318838.09450120619</v>
      </c>
      <c r="K40" s="25">
        <f t="shared" si="8"/>
        <v>11.583161174933016</v>
      </c>
      <c r="L40" s="136">
        <f t="shared" si="9"/>
        <v>0.33566384741316985</v>
      </c>
      <c r="M40" s="71">
        <f t="shared" si="6"/>
        <v>6.1038647599634163E-2</v>
      </c>
      <c r="N40" s="71">
        <f t="shared" si="10"/>
        <v>0.98470094161123167</v>
      </c>
      <c r="O40" s="27">
        <f t="shared" si="11"/>
        <v>8.5510496983553992</v>
      </c>
      <c r="P40" s="72"/>
    </row>
    <row r="41" spans="1:16" x14ac:dyDescent="0.25">
      <c r="A41" s="69" t="s">
        <v>68</v>
      </c>
      <c r="B41" s="21">
        <v>801</v>
      </c>
      <c r="C41" s="21"/>
      <c r="D41" s="21" t="s">
        <v>20</v>
      </c>
      <c r="E41" s="21" t="s">
        <v>33</v>
      </c>
      <c r="F41" s="24">
        <v>523632.65969674452</v>
      </c>
      <c r="G41" s="24">
        <v>44136.119232696015</v>
      </c>
      <c r="H41" s="28">
        <v>40152</v>
      </c>
      <c r="I41" s="28">
        <v>4616.13</v>
      </c>
      <c r="J41" s="24">
        <f t="shared" si="7"/>
        <v>479496.54046404851</v>
      </c>
      <c r="K41" s="25">
        <f t="shared" si="8"/>
        <v>11.942033783224957</v>
      </c>
      <c r="L41" s="136">
        <f t="shared" si="9"/>
        <v>0.34606347482154604</v>
      </c>
      <c r="M41" s="71">
        <f t="shared" si="6"/>
        <v>8.4288323914434429E-2</v>
      </c>
      <c r="N41" s="71">
        <f t="shared" si="10"/>
        <v>1.3597744247183081</v>
      </c>
      <c r="O41" s="27">
        <f t="shared" si="11"/>
        <v>8.6981952414685022</v>
      </c>
      <c r="P41" s="72"/>
    </row>
    <row r="42" spans="1:16" x14ac:dyDescent="0.25">
      <c r="A42" s="69" t="s">
        <v>68</v>
      </c>
      <c r="B42" s="21">
        <v>804</v>
      </c>
      <c r="C42" s="21"/>
      <c r="D42" s="21" t="s">
        <v>20</v>
      </c>
      <c r="E42" s="21" t="s">
        <v>33</v>
      </c>
      <c r="F42" s="24">
        <v>457037.3336297127</v>
      </c>
      <c r="G42" s="24">
        <v>17159.626646699609</v>
      </c>
      <c r="H42" s="28">
        <v>13939</v>
      </c>
      <c r="I42" s="28">
        <v>4462.5300000000007</v>
      </c>
      <c r="J42" s="24">
        <f t="shared" si="7"/>
        <v>439877.70698301308</v>
      </c>
      <c r="K42" s="25">
        <f t="shared" si="8"/>
        <v>31.557336034364951</v>
      </c>
      <c r="L42" s="136">
        <f t="shared" si="9"/>
        <v>0.91448756237016271</v>
      </c>
      <c r="M42" s="256">
        <f t="shared" si="6"/>
        <v>3.7545349983601504E-2</v>
      </c>
      <c r="N42" s="71">
        <f t="shared" si="10"/>
        <v>0.60569725798114227</v>
      </c>
      <c r="O42" s="27">
        <f t="shared" si="11"/>
        <v>3.1235644354211618</v>
      </c>
      <c r="P42" s="72"/>
    </row>
    <row r="43" spans="1:16" x14ac:dyDescent="0.25">
      <c r="A43" s="69" t="s">
        <v>68</v>
      </c>
      <c r="B43" s="21">
        <v>805</v>
      </c>
      <c r="C43" s="21"/>
      <c r="D43" s="21" t="s">
        <v>20</v>
      </c>
      <c r="E43" s="21" t="s">
        <v>33</v>
      </c>
      <c r="F43" s="24">
        <v>462783.91494132765</v>
      </c>
      <c r="G43" s="24">
        <v>36591.997642066242</v>
      </c>
      <c r="H43" s="28">
        <v>30408</v>
      </c>
      <c r="I43" s="28">
        <v>4404.04</v>
      </c>
      <c r="J43" s="24">
        <f t="shared" si="7"/>
        <v>426191.91729926143</v>
      </c>
      <c r="K43" s="25">
        <f t="shared" si="8"/>
        <v>14.015782599949402</v>
      </c>
      <c r="L43" s="136">
        <f t="shared" si="9"/>
        <v>0.40615782176861431</v>
      </c>
      <c r="M43" s="71">
        <f t="shared" si="6"/>
        <v>7.9069294460472825E-2</v>
      </c>
      <c r="N43" s="71">
        <f t="shared" si="10"/>
        <v>1.2755788630583944</v>
      </c>
      <c r="O43" s="27">
        <f t="shared" si="11"/>
        <v>6.9045694407861875</v>
      </c>
      <c r="P43" s="72"/>
    </row>
    <row r="44" spans="1:16" x14ac:dyDescent="0.25">
      <c r="A44" s="69" t="s">
        <v>68</v>
      </c>
      <c r="B44" s="21">
        <v>219</v>
      </c>
      <c r="C44" s="21"/>
      <c r="D44" s="21" t="s">
        <v>20</v>
      </c>
      <c r="E44" s="21" t="s">
        <v>65</v>
      </c>
      <c r="F44" s="24">
        <v>105972.13382158367</v>
      </c>
      <c r="G44" s="24">
        <v>6302.3699471860455</v>
      </c>
      <c r="H44" s="28">
        <v>6160</v>
      </c>
      <c r="I44" s="28">
        <v>1078.6399999999999</v>
      </c>
      <c r="J44" s="24">
        <f t="shared" si="7"/>
        <v>99669.763874397628</v>
      </c>
      <c r="K44" s="25">
        <f t="shared" si="8"/>
        <v>16.180156473116497</v>
      </c>
      <c r="L44" s="136">
        <f t="shared" si="9"/>
        <v>0.51266276352764051</v>
      </c>
      <c r="M44" s="71">
        <f t="shared" si="6"/>
        <v>5.947195474799831E-2</v>
      </c>
      <c r="N44" s="71">
        <f t="shared" si="10"/>
        <v>1.0980599050009916</v>
      </c>
      <c r="O44" s="27">
        <f t="shared" si="11"/>
        <v>5.7108952013646821</v>
      </c>
      <c r="P44" s="72"/>
    </row>
    <row r="45" spans="1:16" x14ac:dyDescent="0.25">
      <c r="A45" s="69" t="s">
        <v>68</v>
      </c>
      <c r="B45" s="21">
        <v>225</v>
      </c>
      <c r="C45" s="21"/>
      <c r="D45" s="21" t="s">
        <v>20</v>
      </c>
      <c r="E45" s="21" t="s">
        <v>65</v>
      </c>
      <c r="F45" s="24">
        <v>28964.72959904329</v>
      </c>
      <c r="G45" s="24">
        <v>816.54235133622876</v>
      </c>
      <c r="H45" s="28">
        <v>975</v>
      </c>
      <c r="I45" s="28">
        <v>254.32599999999999</v>
      </c>
      <c r="J45" s="24">
        <f t="shared" si="7"/>
        <v>28148.187247707061</v>
      </c>
      <c r="K45" s="25">
        <f t="shared" si="8"/>
        <v>28.869935638673908</v>
      </c>
      <c r="L45" s="136">
        <f t="shared" si="9"/>
        <v>0.91473410729858762</v>
      </c>
      <c r="M45" s="256">
        <f t="shared" si="6"/>
        <v>2.8190919184800513E-2</v>
      </c>
      <c r="N45" s="71">
        <f t="shared" si="10"/>
        <v>0.52050278443209508</v>
      </c>
      <c r="O45" s="27">
        <f t="shared" si="11"/>
        <v>3.8336623074321934</v>
      </c>
      <c r="P45" s="72"/>
    </row>
    <row r="46" spans="1:16" x14ac:dyDescent="0.25">
      <c r="A46" s="69" t="s">
        <v>68</v>
      </c>
      <c r="B46" s="21">
        <v>227</v>
      </c>
      <c r="C46" s="21"/>
      <c r="D46" s="21" t="s">
        <v>20</v>
      </c>
      <c r="E46" s="21" t="s">
        <v>65</v>
      </c>
      <c r="F46" s="24">
        <v>29724.558823977506</v>
      </c>
      <c r="G46" s="24">
        <v>1047.895233115567</v>
      </c>
      <c r="H46" s="28">
        <v>949</v>
      </c>
      <c r="I46" s="28">
        <v>262.8</v>
      </c>
      <c r="J46" s="24">
        <f t="shared" si="7"/>
        <v>28676.663590861939</v>
      </c>
      <c r="K46" s="25">
        <f t="shared" si="8"/>
        <v>30.217769853384553</v>
      </c>
      <c r="L46" s="136">
        <f t="shared" si="9"/>
        <v>0.95743977670535407</v>
      </c>
      <c r="M46" s="255">
        <f t="shared" si="6"/>
        <v>3.5253516774495425E-2</v>
      </c>
      <c r="N46" s="71">
        <f t="shared" si="10"/>
        <v>0.65090299191243939</v>
      </c>
      <c r="O46" s="27">
        <f t="shared" si="11"/>
        <v>3.6111111111111112</v>
      </c>
      <c r="P46" s="72"/>
    </row>
    <row r="47" spans="1:16" x14ac:dyDescent="0.25">
      <c r="A47" s="69" t="s">
        <v>68</v>
      </c>
      <c r="B47" s="21">
        <v>323</v>
      </c>
      <c r="C47" s="21"/>
      <c r="D47" s="21" t="s">
        <v>20</v>
      </c>
      <c r="E47" s="21" t="s">
        <v>65</v>
      </c>
      <c r="F47" s="24">
        <v>116631.24316927005</v>
      </c>
      <c r="G47" s="24">
        <v>3925.1696897891675</v>
      </c>
      <c r="H47" s="28">
        <v>4468</v>
      </c>
      <c r="I47" s="28">
        <v>893.32</v>
      </c>
      <c r="J47" s="24">
        <f t="shared" si="7"/>
        <v>112706.07347948088</v>
      </c>
      <c r="K47" s="25">
        <f t="shared" si="8"/>
        <v>25.225173115371728</v>
      </c>
      <c r="L47" s="136">
        <f t="shared" si="9"/>
        <v>0.79925104440592265</v>
      </c>
      <c r="M47" s="256">
        <f t="shared" si="6"/>
        <v>3.3654530151003052E-2</v>
      </c>
      <c r="N47" s="71">
        <f t="shared" si="10"/>
        <v>0.62138011667940385</v>
      </c>
      <c r="O47" s="27">
        <f t="shared" si="11"/>
        <v>5.0015671875699637</v>
      </c>
      <c r="P47" s="72"/>
    </row>
    <row r="48" spans="1:16" x14ac:dyDescent="0.25">
      <c r="A48" s="69" t="s">
        <v>68</v>
      </c>
      <c r="B48" s="21">
        <v>538</v>
      </c>
      <c r="C48" s="21"/>
      <c r="D48" s="21" t="s">
        <v>20</v>
      </c>
      <c r="E48" s="21" t="s">
        <v>65</v>
      </c>
      <c r="F48" s="137">
        <v>117880.72471980039</v>
      </c>
      <c r="G48" s="137">
        <v>8725.0951319650339</v>
      </c>
      <c r="H48" s="138">
        <v>8837</v>
      </c>
      <c r="I48" s="139">
        <v>1156.99</v>
      </c>
      <c r="J48" s="24">
        <f t="shared" si="7"/>
        <v>109155.62958783536</v>
      </c>
      <c r="K48" s="25">
        <f t="shared" si="8"/>
        <v>12.352113792897518</v>
      </c>
      <c r="L48" s="136">
        <f t="shared" si="9"/>
        <v>0.39137253109981918</v>
      </c>
      <c r="M48" s="71">
        <f t="shared" si="6"/>
        <v>7.4016300397748425E-2</v>
      </c>
      <c r="N48" s="71">
        <f t="shared" si="10"/>
        <v>1.3665993009253155</v>
      </c>
      <c r="O48" s="27">
        <f t="shared" si="11"/>
        <v>7.637922540384964</v>
      </c>
      <c r="P48" s="72"/>
    </row>
    <row r="49" spans="1:16" x14ac:dyDescent="0.25">
      <c r="A49" s="69" t="s">
        <v>68</v>
      </c>
      <c r="B49" s="21">
        <v>539</v>
      </c>
      <c r="C49" s="21"/>
      <c r="D49" s="21" t="s">
        <v>20</v>
      </c>
      <c r="E49" s="21" t="s">
        <v>65</v>
      </c>
      <c r="F49" s="137">
        <v>70727.526904705592</v>
      </c>
      <c r="G49" s="137">
        <v>8373.4945440152769</v>
      </c>
      <c r="H49" s="138">
        <v>7748</v>
      </c>
      <c r="I49" s="139">
        <v>530</v>
      </c>
      <c r="J49" s="24">
        <f t="shared" si="7"/>
        <v>62354.032360690311</v>
      </c>
      <c r="K49" s="25">
        <f t="shared" si="8"/>
        <v>8.0477584358144441</v>
      </c>
      <c r="L49" s="136">
        <f t="shared" si="9"/>
        <v>0.254990493247859</v>
      </c>
      <c r="M49" s="71">
        <f t="shared" si="6"/>
        <v>0.1183908855642198</v>
      </c>
      <c r="N49" s="71">
        <f t="shared" si="10"/>
        <v>2.1859090575798832</v>
      </c>
      <c r="O49" s="27">
        <f t="shared" si="11"/>
        <v>14.618867924528303</v>
      </c>
      <c r="P49" s="72"/>
    </row>
    <row r="50" spans="1:16" x14ac:dyDescent="0.25">
      <c r="A50" s="69" t="s">
        <v>68</v>
      </c>
      <c r="B50" s="21">
        <v>540</v>
      </c>
      <c r="C50" s="21"/>
      <c r="D50" s="21" t="s">
        <v>20</v>
      </c>
      <c r="E50" s="21" t="s">
        <v>65</v>
      </c>
      <c r="F50" s="137">
        <v>178195.48369983013</v>
      </c>
      <c r="G50" s="137">
        <v>14098.05843126226</v>
      </c>
      <c r="H50" s="138">
        <v>12406</v>
      </c>
      <c r="I50" s="139">
        <v>1224.3000000000002</v>
      </c>
      <c r="J50" s="24">
        <f t="shared" si="7"/>
        <v>164097.42526856787</v>
      </c>
      <c r="K50" s="25">
        <f t="shared" si="8"/>
        <v>13.227263039542791</v>
      </c>
      <c r="L50" s="136">
        <f t="shared" si="9"/>
        <v>0.41910133780386716</v>
      </c>
      <c r="M50" s="71">
        <f t="shared" si="6"/>
        <v>7.9115688784853866E-2</v>
      </c>
      <c r="N50" s="71">
        <f t="shared" si="10"/>
        <v>1.4607518128384476</v>
      </c>
      <c r="O50" s="27">
        <f t="shared" si="11"/>
        <v>10.133137302948622</v>
      </c>
      <c r="P50" s="72"/>
    </row>
    <row r="51" spans="1:16" x14ac:dyDescent="0.25">
      <c r="A51" s="69" t="s">
        <v>68</v>
      </c>
      <c r="B51" s="21">
        <v>546</v>
      </c>
      <c r="C51" s="21"/>
      <c r="D51" s="21" t="s">
        <v>20</v>
      </c>
      <c r="E51" s="21" t="s">
        <v>65</v>
      </c>
      <c r="F51" s="137">
        <v>70909.112339634245</v>
      </c>
      <c r="G51" s="137">
        <v>5579.8696531519654</v>
      </c>
      <c r="H51" s="138">
        <v>4108</v>
      </c>
      <c r="I51" s="139">
        <v>649.25</v>
      </c>
      <c r="J51" s="24">
        <f t="shared" si="7"/>
        <v>65329.242686482277</v>
      </c>
      <c r="K51" s="25">
        <f t="shared" si="8"/>
        <v>15.902931520565305</v>
      </c>
      <c r="L51" s="136">
        <f t="shared" si="9"/>
        <v>0.50387898504380124</v>
      </c>
      <c r="M51" s="71">
        <f t="shared" si="6"/>
        <v>7.869044568525968E-2</v>
      </c>
      <c r="N51" s="71">
        <f t="shared" si="10"/>
        <v>1.4529003406694008</v>
      </c>
      <c r="O51" s="27">
        <f t="shared" si="11"/>
        <v>6.3273007316134002</v>
      </c>
      <c r="P51" s="72"/>
    </row>
    <row r="52" spans="1:16" x14ac:dyDescent="0.25">
      <c r="A52" s="69" t="s">
        <v>68</v>
      </c>
      <c r="B52" s="21">
        <v>615</v>
      </c>
      <c r="C52" s="21"/>
      <c r="D52" s="21" t="s">
        <v>20</v>
      </c>
      <c r="E52" s="21" t="s">
        <v>65</v>
      </c>
      <c r="F52" s="137">
        <v>78905.788130132598</v>
      </c>
      <c r="G52" s="137">
        <v>2505.8403738577895</v>
      </c>
      <c r="H52" s="138">
        <v>2477</v>
      </c>
      <c r="I52" s="139">
        <v>822.95900000000006</v>
      </c>
      <c r="J52" s="24">
        <f t="shared" si="7"/>
        <v>76399.947756274807</v>
      </c>
      <c r="K52" s="25">
        <f t="shared" si="8"/>
        <v>30.843741524535652</v>
      </c>
      <c r="L52" s="136">
        <f t="shared" si="9"/>
        <v>0.97727347654351926</v>
      </c>
      <c r="M52" s="256">
        <f t="shared" si="6"/>
        <v>3.1757370824623411E-2</v>
      </c>
      <c r="N52" s="71">
        <f t="shared" si="10"/>
        <v>0.58635193241131756</v>
      </c>
      <c r="O52" s="27">
        <f t="shared" si="11"/>
        <v>3.0098704795743165</v>
      </c>
      <c r="P52" s="72"/>
    </row>
    <row r="53" spans="1:16" x14ac:dyDescent="0.25">
      <c r="A53" s="69" t="s">
        <v>68</v>
      </c>
      <c r="B53" s="21">
        <v>716</v>
      </c>
      <c r="C53" s="21"/>
      <c r="D53" s="21" t="s">
        <v>20</v>
      </c>
      <c r="E53" s="21" t="s">
        <v>65</v>
      </c>
      <c r="F53" s="137">
        <v>58805.991654589263</v>
      </c>
      <c r="G53" s="137">
        <v>3744.9898464713765</v>
      </c>
      <c r="H53" s="138">
        <v>3569</v>
      </c>
      <c r="I53" s="139">
        <v>569.75</v>
      </c>
      <c r="J53" s="24">
        <f t="shared" si="7"/>
        <v>55061.001808117886</v>
      </c>
      <c r="K53" s="25">
        <f t="shared" si="8"/>
        <v>15.427571254726223</v>
      </c>
      <c r="L53" s="136">
        <f t="shared" si="9"/>
        <v>0.48881735643957808</v>
      </c>
      <c r="M53" s="71">
        <f t="shared" si="6"/>
        <v>6.3683814201594455E-2</v>
      </c>
      <c r="N53" s="71">
        <f t="shared" si="10"/>
        <v>1.1758255343819388</v>
      </c>
      <c r="O53" s="27">
        <f t="shared" si="11"/>
        <v>6.2641509433962268</v>
      </c>
      <c r="P53" s="72"/>
    </row>
    <row r="54" spans="1:16" x14ac:dyDescent="0.25">
      <c r="A54" s="69" t="s">
        <v>68</v>
      </c>
      <c r="B54" s="21">
        <v>804</v>
      </c>
      <c r="C54" s="21"/>
      <c r="D54" s="21" t="s">
        <v>20</v>
      </c>
      <c r="E54" s="21" t="s">
        <v>65</v>
      </c>
      <c r="F54" s="137">
        <v>72719.212574749035</v>
      </c>
      <c r="G54" s="137">
        <v>1847.1825529808179</v>
      </c>
      <c r="H54" s="138">
        <v>1745</v>
      </c>
      <c r="I54" s="139">
        <v>730.05</v>
      </c>
      <c r="J54" s="24">
        <f t="shared" si="7"/>
        <v>70872.030021768223</v>
      </c>
      <c r="K54" s="251">
        <f t="shared" si="8"/>
        <v>40.614343852016177</v>
      </c>
      <c r="L54" s="136">
        <f t="shared" si="9"/>
        <v>1.2868516934698084</v>
      </c>
      <c r="M54" s="256">
        <f t="shared" si="6"/>
        <v>2.5401575286339559E-2</v>
      </c>
      <c r="N54" s="71">
        <f t="shared" si="10"/>
        <v>0.46900175829065627</v>
      </c>
      <c r="O54" s="27">
        <f t="shared" si="11"/>
        <v>2.3902472433394975</v>
      </c>
      <c r="P54" s="72"/>
    </row>
    <row r="55" spans="1:16" x14ac:dyDescent="0.25">
      <c r="A55" s="69" t="s">
        <v>68</v>
      </c>
      <c r="B55" s="21">
        <v>805</v>
      </c>
      <c r="C55" s="21"/>
      <c r="D55" s="21" t="s">
        <v>20</v>
      </c>
      <c r="E55" s="21" t="s">
        <v>65</v>
      </c>
      <c r="F55" s="137">
        <v>47557.977431718158</v>
      </c>
      <c r="G55" s="137">
        <v>2486.566469551517</v>
      </c>
      <c r="H55" s="138">
        <v>2543</v>
      </c>
      <c r="I55" s="139">
        <v>463.75</v>
      </c>
      <c r="J55" s="24">
        <f t="shared" si="7"/>
        <v>45071.410962166643</v>
      </c>
      <c r="K55" s="25">
        <f t="shared" si="8"/>
        <v>17.723716461724987</v>
      </c>
      <c r="L55" s="136">
        <f t="shared" si="9"/>
        <v>0.56156993761742868</v>
      </c>
      <c r="M55" s="71">
        <f t="shared" si="6"/>
        <v>5.2284949946023875E-2</v>
      </c>
      <c r="N55" s="71">
        <f t="shared" si="10"/>
        <v>0.96536270606852603</v>
      </c>
      <c r="O55" s="27">
        <f t="shared" si="11"/>
        <v>5.4835579514824797</v>
      </c>
      <c r="P55" s="72"/>
    </row>
    <row r="56" spans="1:16" x14ac:dyDescent="0.25">
      <c r="A56" s="69" t="s">
        <v>68</v>
      </c>
      <c r="B56" s="21">
        <v>323</v>
      </c>
      <c r="C56" s="21"/>
      <c r="D56" s="21" t="s">
        <v>20</v>
      </c>
      <c r="E56" s="21" t="s">
        <v>66</v>
      </c>
      <c r="F56" s="137">
        <v>124586.73369041352</v>
      </c>
      <c r="G56" s="137">
        <v>3027.4609238195799</v>
      </c>
      <c r="H56" s="138">
        <v>3569</v>
      </c>
      <c r="I56" s="139">
        <v>928.27</v>
      </c>
      <c r="J56" s="24">
        <f t="shared" si="7"/>
        <v>121559.27276659393</v>
      </c>
      <c r="K56" s="25">
        <f t="shared" si="8"/>
        <v>34.059757009412699</v>
      </c>
      <c r="L56" s="136">
        <f t="shared" si="9"/>
        <v>0.80872807661396495</v>
      </c>
      <c r="M56" s="256">
        <f t="shared" si="6"/>
        <v>2.4300026448582718E-2</v>
      </c>
      <c r="N56" s="71">
        <f t="shared" si="10"/>
        <v>0.52426613480961082</v>
      </c>
      <c r="O56" s="27">
        <f t="shared" si="11"/>
        <v>3.8447865383993882</v>
      </c>
      <c r="P56" s="72"/>
    </row>
    <row r="57" spans="1:16" x14ac:dyDescent="0.25">
      <c r="A57" s="69" t="s">
        <v>68</v>
      </c>
      <c r="B57" s="21">
        <v>538</v>
      </c>
      <c r="C57" s="21"/>
      <c r="D57" s="21" t="s">
        <v>20</v>
      </c>
      <c r="E57" s="21" t="s">
        <v>66</v>
      </c>
      <c r="F57" s="137">
        <v>104694.53861772756</v>
      </c>
      <c r="G57" s="137">
        <v>6048.1042620680219</v>
      </c>
      <c r="H57" s="138">
        <v>6226</v>
      </c>
      <c r="I57" s="139">
        <v>1033.68</v>
      </c>
      <c r="J57" s="24">
        <f t="shared" si="7"/>
        <v>98646.434355659541</v>
      </c>
      <c r="K57" s="25">
        <f t="shared" si="8"/>
        <v>15.844271499463467</v>
      </c>
      <c r="L57" s="136">
        <f t="shared" si="9"/>
        <v>0.37621252587237713</v>
      </c>
      <c r="M57" s="71">
        <f t="shared" si="6"/>
        <v>5.7769052158026489E-2</v>
      </c>
      <c r="N57" s="71">
        <f t="shared" si="10"/>
        <v>1.246350811616906</v>
      </c>
      <c r="O57" s="27">
        <f t="shared" si="11"/>
        <v>6.0231406237907281</v>
      </c>
      <c r="P57" s="72"/>
    </row>
    <row r="58" spans="1:16" x14ac:dyDescent="0.25">
      <c r="A58" s="69" t="s">
        <v>68</v>
      </c>
      <c r="B58" s="22">
        <v>539</v>
      </c>
      <c r="C58" s="22"/>
      <c r="D58" s="21" t="s">
        <v>20</v>
      </c>
      <c r="E58" s="22" t="s">
        <v>66</v>
      </c>
      <c r="F58" s="24">
        <v>63573.745996573489</v>
      </c>
      <c r="G58" s="24">
        <v>4842.3652593234592</v>
      </c>
      <c r="H58" s="29">
        <v>4557</v>
      </c>
      <c r="I58" s="30">
        <v>477.9</v>
      </c>
      <c r="J58" s="24">
        <f t="shared" si="7"/>
        <v>58731.380737250031</v>
      </c>
      <c r="K58" s="25">
        <f t="shared" si="8"/>
        <v>12.888167815942513</v>
      </c>
      <c r="L58" s="136">
        <f t="shared" si="9"/>
        <v>0.30602165382403357</v>
      </c>
      <c r="M58" s="71">
        <f t="shared" si="6"/>
        <v>7.6169261122106188E-2</v>
      </c>
      <c r="N58" s="71">
        <f t="shared" si="10"/>
        <v>1.6433300681497667</v>
      </c>
      <c r="O58" s="27">
        <f t="shared" si="11"/>
        <v>9.535467671060891</v>
      </c>
      <c r="P58" s="140"/>
    </row>
    <row r="59" spans="1:16" x14ac:dyDescent="0.25">
      <c r="A59" s="69" t="s">
        <v>68</v>
      </c>
      <c r="B59" s="21">
        <v>540</v>
      </c>
      <c r="C59" s="21"/>
      <c r="D59" s="21" t="s">
        <v>20</v>
      </c>
      <c r="E59" s="21" t="s">
        <v>66</v>
      </c>
      <c r="F59" s="24">
        <v>101377.26815057598</v>
      </c>
      <c r="G59" s="24">
        <v>7089.7331594483185</v>
      </c>
      <c r="H59" s="28">
        <v>5688</v>
      </c>
      <c r="I59" s="28">
        <v>684.4</v>
      </c>
      <c r="J59" s="24">
        <f t="shared" si="7"/>
        <v>94287.534991127672</v>
      </c>
      <c r="K59" s="25">
        <f t="shared" si="8"/>
        <v>16.576570849354372</v>
      </c>
      <c r="L59" s="136">
        <f t="shared" si="9"/>
        <v>0.39360052557476077</v>
      </c>
      <c r="M59" s="71">
        <f t="shared" si="6"/>
        <v>6.9934150809014842E-2</v>
      </c>
      <c r="N59" s="71">
        <f t="shared" si="10"/>
        <v>1.5088093427969513</v>
      </c>
      <c r="O59" s="27">
        <f t="shared" si="11"/>
        <v>8.3109292811221511</v>
      </c>
      <c r="P59" s="72"/>
    </row>
    <row r="60" spans="1:16" x14ac:dyDescent="0.25">
      <c r="A60" s="69" t="s">
        <v>68</v>
      </c>
      <c r="B60" s="21">
        <v>546</v>
      </c>
      <c r="C60" s="21"/>
      <c r="D60" s="21" t="s">
        <v>20</v>
      </c>
      <c r="E60" s="21" t="s">
        <v>66</v>
      </c>
      <c r="F60" s="24">
        <v>63775.888273192169</v>
      </c>
      <c r="G60" s="24">
        <v>3130.4980841988681</v>
      </c>
      <c r="H60" s="28">
        <v>2380</v>
      </c>
      <c r="I60" s="28">
        <v>585.28</v>
      </c>
      <c r="J60" s="24">
        <f t="shared" si="7"/>
        <v>60645.390188993304</v>
      </c>
      <c r="K60" s="25">
        <f t="shared" si="8"/>
        <v>25.48125638192996</v>
      </c>
      <c r="L60" s="136">
        <f t="shared" si="9"/>
        <v>0.60503683152438548</v>
      </c>
      <c r="M60" s="71">
        <f t="shared" si="6"/>
        <v>4.9085918972840953E-2</v>
      </c>
      <c r="N60" s="71">
        <f t="shared" si="10"/>
        <v>1.059014691523926</v>
      </c>
      <c r="O60" s="27">
        <f t="shared" si="11"/>
        <v>4.0664297430289782</v>
      </c>
      <c r="P60" s="72"/>
    </row>
    <row r="61" spans="1:16" ht="30" x14ac:dyDescent="0.25">
      <c r="A61" s="69" t="s">
        <v>9</v>
      </c>
      <c r="B61" s="21">
        <v>410</v>
      </c>
      <c r="C61" s="21"/>
      <c r="D61" s="21" t="s">
        <v>20</v>
      </c>
      <c r="E61" s="21" t="s">
        <v>33</v>
      </c>
      <c r="F61" s="24">
        <v>186269.1306</v>
      </c>
      <c r="G61" s="25">
        <v>7778.0611918300256</v>
      </c>
      <c r="H61" s="28">
        <v>3310</v>
      </c>
      <c r="I61" s="28">
        <v>1122</v>
      </c>
      <c r="J61" s="24">
        <f t="shared" si="7"/>
        <v>178491.06940816998</v>
      </c>
      <c r="K61" s="250">
        <f t="shared" si="8"/>
        <v>53.924794383132927</v>
      </c>
      <c r="L61" s="136">
        <f t="shared" si="9"/>
        <v>1.5626652931997351</v>
      </c>
      <c r="M61" s="255">
        <f t="shared" si="6"/>
        <v>4.1757113305762247E-2</v>
      </c>
      <c r="N61" s="71">
        <f t="shared" si="10"/>
        <v>0.67364318195341899</v>
      </c>
      <c r="O61" s="27">
        <f t="shared" si="11"/>
        <v>2.9500891265597149</v>
      </c>
      <c r="P61" s="72" t="s">
        <v>98</v>
      </c>
    </row>
    <row r="62" spans="1:16" x14ac:dyDescent="0.25">
      <c r="A62" s="69" t="s">
        <v>9</v>
      </c>
      <c r="B62" s="21">
        <v>420</v>
      </c>
      <c r="C62" s="21"/>
      <c r="D62" s="21" t="s">
        <v>20</v>
      </c>
      <c r="E62" s="21" t="s">
        <v>33</v>
      </c>
      <c r="F62" s="24">
        <v>587989.8446999999</v>
      </c>
      <c r="G62" s="25">
        <v>19367.607354399719</v>
      </c>
      <c r="H62" s="28">
        <v>8242</v>
      </c>
      <c r="I62" s="28">
        <v>2934.92</v>
      </c>
      <c r="J62" s="24">
        <f t="shared" si="7"/>
        <v>568622.23734560015</v>
      </c>
      <c r="K62" s="252">
        <f t="shared" si="8"/>
        <v>68.990807734239283</v>
      </c>
      <c r="L62" s="136">
        <f t="shared" si="9"/>
        <v>1.999257336618296</v>
      </c>
      <c r="M62" s="256">
        <f t="shared" si="6"/>
        <v>3.2938676626772911E-2</v>
      </c>
      <c r="N62" s="71">
        <f t="shared" si="10"/>
        <v>0.53138048048766984</v>
      </c>
      <c r="O62" s="27">
        <f t="shared" si="11"/>
        <v>2.8082537173074562</v>
      </c>
      <c r="P62" s="72"/>
    </row>
    <row r="63" spans="1:16" x14ac:dyDescent="0.25">
      <c r="A63" s="69" t="s">
        <v>9</v>
      </c>
      <c r="B63" s="21">
        <v>425</v>
      </c>
      <c r="C63" s="21"/>
      <c r="D63" s="21" t="s">
        <v>20</v>
      </c>
      <c r="E63" s="21" t="s">
        <v>33</v>
      </c>
      <c r="F63" s="24">
        <v>1502033.9024999996</v>
      </c>
      <c r="G63" s="25">
        <v>37466.286296839251</v>
      </c>
      <c r="H63" s="28">
        <v>15944</v>
      </c>
      <c r="I63" s="28">
        <v>6915.4000000000015</v>
      </c>
      <c r="J63" s="24">
        <f t="shared" si="7"/>
        <v>1464567.6162031603</v>
      </c>
      <c r="K63" s="252">
        <f t="shared" si="8"/>
        <v>91.856975426690937</v>
      </c>
      <c r="L63" s="136">
        <f t="shared" si="9"/>
        <v>2.6618869683161757</v>
      </c>
      <c r="M63" s="256">
        <f t="shared" si="6"/>
        <v>2.4943702159105734E-2</v>
      </c>
      <c r="N63" s="71">
        <f t="shared" si="10"/>
        <v>0.40240221514162022</v>
      </c>
      <c r="O63" s="27">
        <f t="shared" si="11"/>
        <v>2.3055788529947647</v>
      </c>
      <c r="P63" s="72"/>
    </row>
    <row r="64" spans="1:16" x14ac:dyDescent="0.25">
      <c r="A64" s="69" t="s">
        <v>9</v>
      </c>
      <c r="B64" s="22">
        <v>436</v>
      </c>
      <c r="C64" s="22"/>
      <c r="D64" s="21" t="s">
        <v>20</v>
      </c>
      <c r="E64" s="22" t="s">
        <v>33</v>
      </c>
      <c r="F64" s="24">
        <v>863701.84349999996</v>
      </c>
      <c r="G64" s="25">
        <v>26257.418657857615</v>
      </c>
      <c r="H64" s="29">
        <v>11174</v>
      </c>
      <c r="I64" s="30">
        <v>3525.7899999999995</v>
      </c>
      <c r="J64" s="24">
        <f t="shared" si="7"/>
        <v>837444.42484214238</v>
      </c>
      <c r="K64" s="252">
        <f t="shared" si="8"/>
        <v>74.945804979608226</v>
      </c>
      <c r="L64" s="136">
        <f t="shared" si="9"/>
        <v>2.1718248470351513</v>
      </c>
      <c r="M64" s="256">
        <f t="shared" si="6"/>
        <v>3.0401021898313937E-2</v>
      </c>
      <c r="N64" s="71">
        <f t="shared" si="10"/>
        <v>0.49044197514941057</v>
      </c>
      <c r="O64" s="27">
        <f t="shared" si="11"/>
        <v>3.1692188133723227</v>
      </c>
      <c r="P64" s="140"/>
    </row>
    <row r="65" spans="1:16" x14ac:dyDescent="0.25">
      <c r="A65" s="69" t="s">
        <v>9</v>
      </c>
      <c r="B65" s="21">
        <v>440</v>
      </c>
      <c r="C65" s="21"/>
      <c r="D65" s="21" t="s">
        <v>20</v>
      </c>
      <c r="E65" s="21" t="s">
        <v>33</v>
      </c>
      <c r="F65" s="24">
        <v>899703.93389999995</v>
      </c>
      <c r="G65" s="25">
        <v>42581.947690982444</v>
      </c>
      <c r="H65" s="28">
        <v>18121</v>
      </c>
      <c r="I65" s="28">
        <v>4684.6499999999996</v>
      </c>
      <c r="J65" s="24">
        <f t="shared" si="7"/>
        <v>857121.98620901746</v>
      </c>
      <c r="K65" s="250">
        <f t="shared" si="8"/>
        <v>47.299927498980047</v>
      </c>
      <c r="L65" s="136">
        <f t="shared" si="9"/>
        <v>1.3706858954039762</v>
      </c>
      <c r="M65" s="255">
        <f t="shared" si="6"/>
        <v>4.7328844619362674E-2</v>
      </c>
      <c r="N65" s="71">
        <f t="shared" si="10"/>
        <v>0.76352867723657469</v>
      </c>
      <c r="O65" s="27">
        <f t="shared" si="11"/>
        <v>3.8681651777614126</v>
      </c>
      <c r="P65" s="72"/>
    </row>
    <row r="66" spans="1:16" x14ac:dyDescent="0.25">
      <c r="A66" s="69" t="s">
        <v>9</v>
      </c>
      <c r="B66" s="22">
        <v>442</v>
      </c>
      <c r="C66" s="22"/>
      <c r="D66" s="21" t="s">
        <v>20</v>
      </c>
      <c r="E66" s="22" t="s">
        <v>33</v>
      </c>
      <c r="F66" s="24">
        <v>1557326.8239</v>
      </c>
      <c r="G66" s="25">
        <v>77524.476368478659</v>
      </c>
      <c r="H66" s="29">
        <v>32991</v>
      </c>
      <c r="I66" s="30">
        <v>7911.8700000000008</v>
      </c>
      <c r="J66" s="24">
        <f t="shared" si="7"/>
        <v>1479802.3475315212</v>
      </c>
      <c r="K66" s="251">
        <f t="shared" si="8"/>
        <v>44.854728487512389</v>
      </c>
      <c r="L66" s="136">
        <f t="shared" si="9"/>
        <v>1.2998274401442564</v>
      </c>
      <c r="M66" s="71">
        <f t="shared" si="6"/>
        <v>4.9780479716091189E-2</v>
      </c>
      <c r="N66" s="71">
        <f t="shared" si="10"/>
        <v>0.80307947796975121</v>
      </c>
      <c r="O66" s="27">
        <f t="shared" si="11"/>
        <v>4.1698106768690586</v>
      </c>
      <c r="P66" s="140"/>
    </row>
    <row r="67" spans="1:16" x14ac:dyDescent="0.25">
      <c r="A67" s="69" t="s">
        <v>9</v>
      </c>
      <c r="B67" s="21">
        <v>444</v>
      </c>
      <c r="C67" s="21"/>
      <c r="D67" s="21" t="s">
        <v>20</v>
      </c>
      <c r="E67" s="21" t="s">
        <v>33</v>
      </c>
      <c r="F67" s="24">
        <v>2479252.284299999</v>
      </c>
      <c r="G67" s="25">
        <v>303560.57428489014</v>
      </c>
      <c r="H67" s="28">
        <v>129182</v>
      </c>
      <c r="I67" s="28">
        <v>13663.99</v>
      </c>
      <c r="J67" s="24">
        <f t="shared" si="7"/>
        <v>2175691.7100151088</v>
      </c>
      <c r="K67" s="25">
        <f t="shared" si="8"/>
        <v>16.842065535563073</v>
      </c>
      <c r="L67" s="136">
        <f t="shared" si="9"/>
        <v>0.48805955737592871</v>
      </c>
      <c r="M67" s="71">
        <f t="shared" si="6"/>
        <v>0.12244037293308314</v>
      </c>
      <c r="N67" s="71">
        <f t="shared" si="10"/>
        <v>1.9752592047789728</v>
      </c>
      <c r="O67" s="27">
        <f t="shared" si="11"/>
        <v>9.4541931017221188</v>
      </c>
      <c r="P67" s="72"/>
    </row>
    <row r="68" spans="1:16" x14ac:dyDescent="0.25">
      <c r="A68" s="69" t="s">
        <v>9</v>
      </c>
      <c r="B68" s="22">
        <v>445</v>
      </c>
      <c r="C68" s="22"/>
      <c r="D68" s="21" t="s">
        <v>20</v>
      </c>
      <c r="E68" s="22" t="s">
        <v>33</v>
      </c>
      <c r="F68" s="24">
        <v>1047278.0915999999</v>
      </c>
      <c r="G68" s="25">
        <v>75583.485871665485</v>
      </c>
      <c r="H68" s="29">
        <v>32165</v>
      </c>
      <c r="I68" s="30">
        <v>5426.3499999999995</v>
      </c>
      <c r="J68" s="24">
        <f t="shared" ref="J68:J97" si="12">F68-G68</f>
        <v>971694.6057283344</v>
      </c>
      <c r="K68" s="25">
        <f t="shared" ref="K68:K97" si="13">J68/H68</f>
        <v>30.209687726669809</v>
      </c>
      <c r="L68" s="136">
        <f t="shared" ref="L68:L97" si="14">+IF(E68="Weekdays",K68/$G$101,IF(E68="Saturdays",K68/$G$102,IF(E68="Sundays",K68/$G$103, "NA")))</f>
        <v>0.87543459495572851</v>
      </c>
      <c r="M68" s="71">
        <f t="shared" si="6"/>
        <v>7.2171361625823105E-2</v>
      </c>
      <c r="N68" s="71">
        <f t="shared" ref="N68:N97" si="15">+IF(E68="Weekdays",M68/$G$107,IF(E68="Saturdays",M68/$G$108,IF(E68="Sundays",M68/$G$109,"NA")))</f>
        <v>1.1642985312593765</v>
      </c>
      <c r="O68" s="27">
        <f t="shared" ref="O68:O97" si="16">H68/I68</f>
        <v>5.9275571977480261</v>
      </c>
      <c r="P68" s="140"/>
    </row>
    <row r="69" spans="1:16" x14ac:dyDescent="0.25">
      <c r="A69" s="69" t="s">
        <v>9</v>
      </c>
      <c r="B69" s="22">
        <v>446</v>
      </c>
      <c r="C69" s="22"/>
      <c r="D69" s="21" t="s">
        <v>20</v>
      </c>
      <c r="E69" s="22" t="s">
        <v>33</v>
      </c>
      <c r="F69" s="24">
        <v>1294129.3844999997</v>
      </c>
      <c r="G69" s="25">
        <v>83664.67996190823</v>
      </c>
      <c r="H69" s="29">
        <v>35604</v>
      </c>
      <c r="I69" s="30">
        <v>6634.17</v>
      </c>
      <c r="J69" s="24">
        <f t="shared" si="12"/>
        <v>1210464.7045380916</v>
      </c>
      <c r="K69" s="25">
        <f t="shared" si="13"/>
        <v>33.997997543480835</v>
      </c>
      <c r="L69" s="136">
        <f t="shared" si="14"/>
        <v>0.98521452714347368</v>
      </c>
      <c r="M69" s="71">
        <f t="shared" si="6"/>
        <v>6.464939361085055E-2</v>
      </c>
      <c r="N69" s="71">
        <f t="shared" si="15"/>
        <v>1.042951003448858</v>
      </c>
      <c r="O69" s="27">
        <f t="shared" si="16"/>
        <v>5.3667602729504971</v>
      </c>
      <c r="P69" s="140"/>
    </row>
    <row r="70" spans="1:16" x14ac:dyDescent="0.25">
      <c r="A70" s="69" t="s">
        <v>9</v>
      </c>
      <c r="B70" s="22">
        <v>447</v>
      </c>
      <c r="C70" s="22"/>
      <c r="D70" s="21" t="s">
        <v>20</v>
      </c>
      <c r="E70" s="22" t="s">
        <v>33</v>
      </c>
      <c r="F70" s="24">
        <v>989116.02629999991</v>
      </c>
      <c r="G70" s="25">
        <v>39381.428251927311</v>
      </c>
      <c r="H70" s="29">
        <v>16759</v>
      </c>
      <c r="I70" s="30">
        <v>5326.97</v>
      </c>
      <c r="J70" s="24">
        <f t="shared" si="12"/>
        <v>949734.59804807254</v>
      </c>
      <c r="K70" s="252">
        <f t="shared" si="13"/>
        <v>56.670123399252496</v>
      </c>
      <c r="L70" s="136">
        <f t="shared" si="14"/>
        <v>1.6422210971852593</v>
      </c>
      <c r="M70" s="256">
        <f t="shared" si="6"/>
        <v>3.9814771174259474E-2</v>
      </c>
      <c r="N70" s="71">
        <f t="shared" si="15"/>
        <v>0.64230850792251182</v>
      </c>
      <c r="O70" s="27">
        <f t="shared" si="16"/>
        <v>3.1460661501754279</v>
      </c>
      <c r="P70" s="140"/>
    </row>
    <row r="71" spans="1:16" x14ac:dyDescent="0.25">
      <c r="A71" s="69" t="s">
        <v>9</v>
      </c>
      <c r="B71" s="22">
        <v>489</v>
      </c>
      <c r="C71" s="22"/>
      <c r="D71" s="21" t="s">
        <v>20</v>
      </c>
      <c r="E71" s="22" t="s">
        <v>33</v>
      </c>
      <c r="F71" s="24">
        <v>241908.97919999994</v>
      </c>
      <c r="G71" s="25">
        <v>12393.200823477811</v>
      </c>
      <c r="H71" s="29">
        <v>5274</v>
      </c>
      <c r="I71" s="30">
        <v>1268.8000000000002</v>
      </c>
      <c r="J71" s="24">
        <f t="shared" si="12"/>
        <v>229515.77837652212</v>
      </c>
      <c r="K71" s="251">
        <f t="shared" si="13"/>
        <v>43.518350090353074</v>
      </c>
      <c r="L71" s="136">
        <f t="shared" si="14"/>
        <v>1.261101059010832</v>
      </c>
      <c r="M71" s="71">
        <f t="shared" si="6"/>
        <v>5.1230842544425129E-2</v>
      </c>
      <c r="N71" s="71">
        <f t="shared" si="15"/>
        <v>0.82647733652169786</v>
      </c>
      <c r="O71" s="27">
        <f t="shared" si="16"/>
        <v>4.1566834804539718</v>
      </c>
      <c r="P71" s="140"/>
    </row>
    <row r="72" spans="1:16" x14ac:dyDescent="0.25">
      <c r="A72" s="69" t="s">
        <v>9</v>
      </c>
      <c r="B72" s="21">
        <v>497</v>
      </c>
      <c r="C72" s="21"/>
      <c r="D72" s="21" t="s">
        <v>20</v>
      </c>
      <c r="E72" s="21" t="s">
        <v>33</v>
      </c>
      <c r="F72" s="24">
        <v>719550.79410000006</v>
      </c>
      <c r="G72" s="25">
        <v>27669.688983020711</v>
      </c>
      <c r="H72" s="28">
        <v>11775</v>
      </c>
      <c r="I72" s="28">
        <v>3161.7100000000005</v>
      </c>
      <c r="J72" s="24">
        <f t="shared" si="12"/>
        <v>691881.10511697934</v>
      </c>
      <c r="K72" s="252">
        <f t="shared" si="13"/>
        <v>58.758480264711622</v>
      </c>
      <c r="L72" s="136">
        <f t="shared" si="14"/>
        <v>1.7027387650002177</v>
      </c>
      <c r="M72" s="256">
        <f t="shared" si="6"/>
        <v>3.8454114997718003E-2</v>
      </c>
      <c r="N72" s="71">
        <f t="shared" si="15"/>
        <v>0.62035783452231097</v>
      </c>
      <c r="O72" s="27">
        <f t="shared" si="16"/>
        <v>3.7242504847060602</v>
      </c>
      <c r="P72" s="72"/>
    </row>
    <row r="73" spans="1:16" x14ac:dyDescent="0.25">
      <c r="A73" s="69" t="s">
        <v>9</v>
      </c>
      <c r="B73" s="21">
        <v>499</v>
      </c>
      <c r="C73" s="21"/>
      <c r="D73" s="21" t="s">
        <v>20</v>
      </c>
      <c r="E73" s="21" t="s">
        <v>33</v>
      </c>
      <c r="F73" s="24">
        <v>630349.93559999997</v>
      </c>
      <c r="G73" s="25">
        <v>24802.850718962512</v>
      </c>
      <c r="H73" s="28">
        <v>10555</v>
      </c>
      <c r="I73" s="28">
        <v>2850.3600000000006</v>
      </c>
      <c r="J73" s="24">
        <f t="shared" si="12"/>
        <v>605547.08488103747</v>
      </c>
      <c r="K73" s="252">
        <f t="shared" si="13"/>
        <v>57.370638074944338</v>
      </c>
      <c r="L73" s="136">
        <f t="shared" si="14"/>
        <v>1.6625210349708934</v>
      </c>
      <c r="M73" s="256">
        <f t="shared" si="6"/>
        <v>3.934774847776238E-2</v>
      </c>
      <c r="N73" s="71">
        <f t="shared" si="15"/>
        <v>0.6347743028396774</v>
      </c>
      <c r="O73" s="27">
        <f t="shared" si="16"/>
        <v>3.7030410193800072</v>
      </c>
      <c r="P73" s="72"/>
    </row>
    <row r="74" spans="1:16" ht="30" x14ac:dyDescent="0.25">
      <c r="A74" s="69" t="s">
        <v>9</v>
      </c>
      <c r="B74" s="21">
        <v>410</v>
      </c>
      <c r="C74" s="21"/>
      <c r="D74" s="21" t="s">
        <v>20</v>
      </c>
      <c r="E74" s="21" t="s">
        <v>65</v>
      </c>
      <c r="F74" s="24">
        <v>119328.96779999998</v>
      </c>
      <c r="G74" s="25">
        <v>5785.3736115666234</v>
      </c>
      <c r="H74" s="28">
        <v>2462</v>
      </c>
      <c r="I74" s="28">
        <v>708.99000000000012</v>
      </c>
      <c r="J74" s="24">
        <f t="shared" si="12"/>
        <v>113543.59418843336</v>
      </c>
      <c r="K74" s="250">
        <f t="shared" si="13"/>
        <v>46.118437931938814</v>
      </c>
      <c r="L74" s="136">
        <f t="shared" si="14"/>
        <v>1.4612470453576363</v>
      </c>
      <c r="M74" s="71">
        <f t="shared" si="6"/>
        <v>4.8482558076452451E-2</v>
      </c>
      <c r="N74" s="71">
        <f t="shared" si="15"/>
        <v>0.89515727776589116</v>
      </c>
      <c r="O74" s="27">
        <f t="shared" si="16"/>
        <v>3.4725454519809866</v>
      </c>
      <c r="P74" s="72" t="s">
        <v>98</v>
      </c>
    </row>
    <row r="75" spans="1:16" x14ac:dyDescent="0.25">
      <c r="A75" s="69" t="s">
        <v>9</v>
      </c>
      <c r="B75" s="21">
        <v>420</v>
      </c>
      <c r="C75" s="21"/>
      <c r="D75" s="21" t="s">
        <v>20</v>
      </c>
      <c r="E75" s="21" t="s">
        <v>65</v>
      </c>
      <c r="F75" s="137">
        <v>73302.359999999986</v>
      </c>
      <c r="G75" s="141">
        <v>1666.0560075551323</v>
      </c>
      <c r="H75" s="138">
        <v>709</v>
      </c>
      <c r="I75" s="139">
        <v>399.19</v>
      </c>
      <c r="J75" s="24">
        <f t="shared" si="12"/>
        <v>71636.303992444853</v>
      </c>
      <c r="K75" s="252">
        <f t="shared" si="13"/>
        <v>101.03851056762321</v>
      </c>
      <c r="L75" s="136">
        <f t="shared" si="14"/>
        <v>3.2013708975174922</v>
      </c>
      <c r="M75" s="256">
        <f t="shared" si="6"/>
        <v>2.2728545268598892E-2</v>
      </c>
      <c r="N75" s="71">
        <f t="shared" si="15"/>
        <v>0.4196482924464231</v>
      </c>
      <c r="O75" s="27">
        <f t="shared" si="16"/>
        <v>1.7760965956061023</v>
      </c>
      <c r="P75" s="72"/>
    </row>
    <row r="76" spans="1:16" x14ac:dyDescent="0.25">
      <c r="A76" s="69" t="s">
        <v>9</v>
      </c>
      <c r="B76" s="21">
        <v>440</v>
      </c>
      <c r="C76" s="21"/>
      <c r="D76" s="21" t="s">
        <v>20</v>
      </c>
      <c r="E76" s="21" t="s">
        <v>65</v>
      </c>
      <c r="F76" s="137">
        <v>106680.11400000002</v>
      </c>
      <c r="G76" s="141">
        <v>3012.5300446906626</v>
      </c>
      <c r="H76" s="138">
        <v>1282</v>
      </c>
      <c r="I76" s="139">
        <v>517.31999999999994</v>
      </c>
      <c r="J76" s="24">
        <f t="shared" si="12"/>
        <v>103667.58395530935</v>
      </c>
      <c r="K76" s="252">
        <f t="shared" si="13"/>
        <v>80.863950043143021</v>
      </c>
      <c r="L76" s="136">
        <f t="shared" si="14"/>
        <v>2.5621467980089219</v>
      </c>
      <c r="M76" s="256">
        <f t="shared" si="6"/>
        <v>2.8238909125000204E-2</v>
      </c>
      <c r="N76" s="71">
        <f t="shared" si="15"/>
        <v>0.52138884626409587</v>
      </c>
      <c r="O76" s="27">
        <f t="shared" si="16"/>
        <v>2.4781566535219981</v>
      </c>
      <c r="P76" s="72"/>
    </row>
    <row r="77" spans="1:16" x14ac:dyDescent="0.25">
      <c r="A77" s="69" t="s">
        <v>9</v>
      </c>
      <c r="B77" s="21">
        <v>442</v>
      </c>
      <c r="C77" s="21"/>
      <c r="D77" s="21" t="s">
        <v>20</v>
      </c>
      <c r="E77" s="21" t="s">
        <v>65</v>
      </c>
      <c r="F77" s="137">
        <v>228988.73879999996</v>
      </c>
      <c r="G77" s="141">
        <v>12148.814610803998</v>
      </c>
      <c r="H77" s="138">
        <v>5170</v>
      </c>
      <c r="I77" s="139">
        <v>1239.1799999999998</v>
      </c>
      <c r="J77" s="24">
        <f t="shared" si="12"/>
        <v>216839.92418919597</v>
      </c>
      <c r="K77" s="251">
        <f t="shared" si="13"/>
        <v>41.941958257097866</v>
      </c>
      <c r="L77" s="136">
        <f t="shared" si="14"/>
        <v>1.3289167050745565</v>
      </c>
      <c r="M77" s="71">
        <f t="shared" si="6"/>
        <v>5.3054201156218603E-2</v>
      </c>
      <c r="N77" s="71">
        <f t="shared" si="15"/>
        <v>0.97956576891331593</v>
      </c>
      <c r="O77" s="27">
        <f t="shared" si="16"/>
        <v>4.1721138172016987</v>
      </c>
      <c r="P77" s="72"/>
    </row>
    <row r="78" spans="1:16" x14ac:dyDescent="0.25">
      <c r="A78" s="69" t="s">
        <v>9</v>
      </c>
      <c r="B78" s="21">
        <v>444</v>
      </c>
      <c r="C78" s="21"/>
      <c r="D78" s="21" t="s">
        <v>20</v>
      </c>
      <c r="E78" s="21" t="s">
        <v>65</v>
      </c>
      <c r="F78" s="137">
        <v>468900.08879999997</v>
      </c>
      <c r="G78" s="141">
        <v>55271.231810584301</v>
      </c>
      <c r="H78" s="138">
        <v>23521</v>
      </c>
      <c r="I78" s="139">
        <v>2536.92</v>
      </c>
      <c r="J78" s="24">
        <f t="shared" si="12"/>
        <v>413628.85698941565</v>
      </c>
      <c r="K78" s="25">
        <f t="shared" si="13"/>
        <v>17.585513243034551</v>
      </c>
      <c r="L78" s="136">
        <f t="shared" si="14"/>
        <v>0.55719101556312256</v>
      </c>
      <c r="M78" s="71">
        <f t="shared" si="6"/>
        <v>0.11787421911570409</v>
      </c>
      <c r="N78" s="71">
        <f t="shared" si="15"/>
        <v>2.1763695912250558</v>
      </c>
      <c r="O78" s="27">
        <f t="shared" si="16"/>
        <v>9.2714788010658591</v>
      </c>
      <c r="P78" s="72"/>
    </row>
    <row r="79" spans="1:16" x14ac:dyDescent="0.25">
      <c r="A79" s="69" t="s">
        <v>9</v>
      </c>
      <c r="B79" s="21">
        <v>445</v>
      </c>
      <c r="C79" s="21"/>
      <c r="D79" s="21" t="s">
        <v>20</v>
      </c>
      <c r="E79" s="21" t="s">
        <v>65</v>
      </c>
      <c r="F79" s="137">
        <v>158054.71650000001</v>
      </c>
      <c r="G79" s="141">
        <v>11199.468169263415</v>
      </c>
      <c r="H79" s="138">
        <v>4766</v>
      </c>
      <c r="I79" s="139">
        <v>754.07999999999993</v>
      </c>
      <c r="J79" s="24">
        <f t="shared" si="12"/>
        <v>146855.24833073659</v>
      </c>
      <c r="K79" s="25">
        <f t="shared" si="13"/>
        <v>30.813102880977045</v>
      </c>
      <c r="L79" s="136">
        <f t="shared" si="14"/>
        <v>0.97630270152638077</v>
      </c>
      <c r="M79" s="71">
        <f t="shared" si="6"/>
        <v>7.0858171254025271E-2</v>
      </c>
      <c r="N79" s="71">
        <f t="shared" si="15"/>
        <v>1.3082892117037361</v>
      </c>
      <c r="O79" s="27">
        <f t="shared" si="16"/>
        <v>6.3202843199660519</v>
      </c>
      <c r="P79" s="72"/>
    </row>
    <row r="80" spans="1:16" x14ac:dyDescent="0.25">
      <c r="A80" s="69" t="s">
        <v>9</v>
      </c>
      <c r="B80" s="21">
        <v>446</v>
      </c>
      <c r="C80" s="21"/>
      <c r="D80" s="21" t="s">
        <v>20</v>
      </c>
      <c r="E80" s="21" t="s">
        <v>65</v>
      </c>
      <c r="F80" s="137">
        <v>139544.47169999997</v>
      </c>
      <c r="G80" s="141">
        <v>7695.8158317955695</v>
      </c>
      <c r="H80" s="138">
        <v>3275</v>
      </c>
      <c r="I80" s="139">
        <v>643.68000000000006</v>
      </c>
      <c r="J80" s="24">
        <f t="shared" si="12"/>
        <v>131848.6558682044</v>
      </c>
      <c r="K80" s="251">
        <f t="shared" si="13"/>
        <v>40.259131562810502</v>
      </c>
      <c r="L80" s="136">
        <f t="shared" si="14"/>
        <v>1.2755969127063636</v>
      </c>
      <c r="M80" s="71">
        <f t="shared" si="6"/>
        <v>5.5149557256130063E-2</v>
      </c>
      <c r="N80" s="71">
        <f t="shared" si="15"/>
        <v>1.0182533575382631</v>
      </c>
      <c r="O80" s="27">
        <f t="shared" si="16"/>
        <v>5.0879318916231666</v>
      </c>
      <c r="P80" s="72"/>
    </row>
    <row r="81" spans="1:16" x14ac:dyDescent="0.25">
      <c r="A81" s="69" t="s">
        <v>9</v>
      </c>
      <c r="B81" s="21">
        <v>447</v>
      </c>
      <c r="C81" s="21"/>
      <c r="D81" s="21" t="s">
        <v>20</v>
      </c>
      <c r="E81" s="21" t="s">
        <v>65</v>
      </c>
      <c r="F81" s="137">
        <v>207736.65</v>
      </c>
      <c r="G81" s="141">
        <v>6332.8927226531478</v>
      </c>
      <c r="H81" s="138">
        <v>2695</v>
      </c>
      <c r="I81" s="139">
        <v>1128.06</v>
      </c>
      <c r="J81" s="24">
        <f t="shared" si="12"/>
        <v>201403.75727734686</v>
      </c>
      <c r="K81" s="252">
        <f t="shared" si="13"/>
        <v>74.732377468403286</v>
      </c>
      <c r="L81" s="136">
        <f t="shared" si="14"/>
        <v>2.3678700030867463</v>
      </c>
      <c r="M81" s="256">
        <f t="shared" si="6"/>
        <v>3.0485197112079875E-2</v>
      </c>
      <c r="N81" s="71">
        <f t="shared" si="15"/>
        <v>0.56286316443892581</v>
      </c>
      <c r="O81" s="27">
        <f t="shared" si="16"/>
        <v>2.3890573196461182</v>
      </c>
      <c r="P81" s="72"/>
    </row>
    <row r="82" spans="1:16" x14ac:dyDescent="0.25">
      <c r="A82" s="69" t="s">
        <v>9</v>
      </c>
      <c r="B82" s="21">
        <v>497</v>
      </c>
      <c r="C82" s="21"/>
      <c r="D82" s="21" t="s">
        <v>20</v>
      </c>
      <c r="E82" s="21" t="s">
        <v>65</v>
      </c>
      <c r="F82" s="137">
        <v>70518.548999999999</v>
      </c>
      <c r="G82" s="141">
        <v>3071.2767304295598</v>
      </c>
      <c r="H82" s="138">
        <v>1307</v>
      </c>
      <c r="I82" s="139">
        <v>366.95999999999992</v>
      </c>
      <c r="J82" s="24">
        <f t="shared" si="12"/>
        <v>67447.272269570443</v>
      </c>
      <c r="K82" s="252">
        <f t="shared" si="13"/>
        <v>51.604645959885573</v>
      </c>
      <c r="L82" s="136">
        <f t="shared" si="14"/>
        <v>1.6350756837622051</v>
      </c>
      <c r="M82" s="71">
        <f t="shared" si="6"/>
        <v>4.3552749935758889E-2</v>
      </c>
      <c r="N82" s="71">
        <f t="shared" si="15"/>
        <v>0.80413580921688088</v>
      </c>
      <c r="O82" s="27">
        <f t="shared" si="16"/>
        <v>3.5616960976673213</v>
      </c>
      <c r="P82" s="72"/>
    </row>
    <row r="83" spans="1:16" x14ac:dyDescent="0.25">
      <c r="A83" s="69" t="s">
        <v>9</v>
      </c>
      <c r="B83" s="21">
        <v>499</v>
      </c>
      <c r="C83" s="21"/>
      <c r="D83" s="21" t="s">
        <v>20</v>
      </c>
      <c r="E83" s="21" t="s">
        <v>65</v>
      </c>
      <c r="F83" s="137">
        <v>75070.569599999973</v>
      </c>
      <c r="G83" s="141">
        <v>2927.93481722665</v>
      </c>
      <c r="H83" s="138">
        <v>1246</v>
      </c>
      <c r="I83" s="139">
        <v>362.81999999999994</v>
      </c>
      <c r="J83" s="24">
        <f t="shared" si="12"/>
        <v>72142.634782773326</v>
      </c>
      <c r="K83" s="252">
        <f t="shared" si="13"/>
        <v>57.89938586097378</v>
      </c>
      <c r="L83" s="136">
        <f t="shared" si="14"/>
        <v>1.8345223800127273</v>
      </c>
      <c r="M83" s="255">
        <f t="shared" si="6"/>
        <v>3.9002432415627376E-2</v>
      </c>
      <c r="N83" s="71">
        <f t="shared" si="15"/>
        <v>0.72012106234918816</v>
      </c>
      <c r="O83" s="27">
        <f t="shared" si="16"/>
        <v>3.4342098010032527</v>
      </c>
      <c r="P83" s="72"/>
    </row>
    <row r="84" spans="1:16" ht="30" x14ac:dyDescent="0.25">
      <c r="A84" s="69" t="s">
        <v>9</v>
      </c>
      <c r="B84" s="22">
        <v>410</v>
      </c>
      <c r="C84" s="22"/>
      <c r="D84" s="21" t="s">
        <v>20</v>
      </c>
      <c r="E84" s="22" t="s">
        <v>66</v>
      </c>
      <c r="F84" s="24">
        <v>134462.26799999998</v>
      </c>
      <c r="G84" s="25">
        <v>4937.0714694969438</v>
      </c>
      <c r="H84" s="29">
        <v>2101</v>
      </c>
      <c r="I84" s="30">
        <v>795.72</v>
      </c>
      <c r="J84" s="24">
        <f t="shared" si="12"/>
        <v>129525.19653050303</v>
      </c>
      <c r="K84" s="250">
        <f t="shared" si="13"/>
        <v>61.649308201096161</v>
      </c>
      <c r="L84" s="136">
        <f t="shared" si="14"/>
        <v>1.4638250775622237</v>
      </c>
      <c r="M84" s="255">
        <f t="shared" si="6"/>
        <v>3.6717151532033837E-2</v>
      </c>
      <c r="N84" s="71">
        <f t="shared" si="15"/>
        <v>0.79216206433556691</v>
      </c>
      <c r="O84" s="27">
        <f t="shared" si="16"/>
        <v>2.6403760116623936</v>
      </c>
      <c r="P84" s="72" t="s">
        <v>98</v>
      </c>
    </row>
    <row r="85" spans="1:16" x14ac:dyDescent="0.25">
      <c r="A85" s="69" t="s">
        <v>9</v>
      </c>
      <c r="B85" s="21">
        <v>420</v>
      </c>
      <c r="C85" s="21"/>
      <c r="D85" s="21" t="s">
        <v>20</v>
      </c>
      <c r="E85" s="21" t="s">
        <v>66</v>
      </c>
      <c r="F85" s="24">
        <v>79492.492499999993</v>
      </c>
      <c r="G85" s="25">
        <v>1475.7167457611047</v>
      </c>
      <c r="H85" s="28">
        <v>628</v>
      </c>
      <c r="I85" s="28">
        <v>432.94</v>
      </c>
      <c r="J85" s="24">
        <f t="shared" si="12"/>
        <v>78016.775754238886</v>
      </c>
      <c r="K85" s="252">
        <f t="shared" si="13"/>
        <v>124.23053464050778</v>
      </c>
      <c r="L85" s="136">
        <f t="shared" si="14"/>
        <v>2.9497779831129458</v>
      </c>
      <c r="M85" s="256">
        <f t="shared" si="6"/>
        <v>1.8564227883043228E-2</v>
      </c>
      <c r="N85" s="71">
        <f t="shared" si="15"/>
        <v>0.40051791789451008</v>
      </c>
      <c r="O85" s="27">
        <f t="shared" si="16"/>
        <v>1.450547419965815</v>
      </c>
      <c r="P85" s="72"/>
    </row>
    <row r="86" spans="1:16" x14ac:dyDescent="0.25">
      <c r="A86" s="69" t="s">
        <v>9</v>
      </c>
      <c r="B86" s="21">
        <v>440</v>
      </c>
      <c r="C86" s="21"/>
      <c r="D86" s="21" t="s">
        <v>20</v>
      </c>
      <c r="E86" s="21" t="s">
        <v>66</v>
      </c>
      <c r="F86" s="24">
        <v>115710.0135</v>
      </c>
      <c r="G86" s="25">
        <v>2575.4547027932654</v>
      </c>
      <c r="H86" s="28">
        <v>1096</v>
      </c>
      <c r="I86" s="28">
        <v>560.42999999999995</v>
      </c>
      <c r="J86" s="24">
        <f t="shared" si="12"/>
        <v>113134.55879720673</v>
      </c>
      <c r="K86" s="252">
        <f t="shared" si="13"/>
        <v>103.22496240621052</v>
      </c>
      <c r="L86" s="136">
        <f t="shared" si="14"/>
        <v>2.451013531372312</v>
      </c>
      <c r="M86" s="256">
        <f t="shared" si="6"/>
        <v>2.2257837717677437E-2</v>
      </c>
      <c r="N86" s="71">
        <f t="shared" si="15"/>
        <v>0.48020649583066227</v>
      </c>
      <c r="O86" s="27">
        <f t="shared" si="16"/>
        <v>1.9556412040754423</v>
      </c>
      <c r="P86" s="72"/>
    </row>
    <row r="87" spans="1:16" x14ac:dyDescent="0.25">
      <c r="A87" s="69" t="s">
        <v>9</v>
      </c>
      <c r="B87" s="21">
        <v>442</v>
      </c>
      <c r="C87" s="21"/>
      <c r="D87" s="21" t="s">
        <v>20</v>
      </c>
      <c r="E87" s="21" t="s">
        <v>66</v>
      </c>
      <c r="F87" s="24">
        <v>245947.60349999997</v>
      </c>
      <c r="G87" s="25">
        <v>10854.037657118697</v>
      </c>
      <c r="H87" s="28">
        <v>4619</v>
      </c>
      <c r="I87" s="28">
        <v>1330.6599999999999</v>
      </c>
      <c r="J87" s="24">
        <f t="shared" si="12"/>
        <v>235093.56584288127</v>
      </c>
      <c r="K87" s="251">
        <f t="shared" si="13"/>
        <v>50.897069894540216</v>
      </c>
      <c r="L87" s="136">
        <f t="shared" si="14"/>
        <v>1.2085197621851096</v>
      </c>
      <c r="M87" s="71">
        <f t="shared" si="6"/>
        <v>4.4131504038496146E-2</v>
      </c>
      <c r="N87" s="71">
        <f t="shared" si="15"/>
        <v>0.95212460342595773</v>
      </c>
      <c r="O87" s="27">
        <f t="shared" si="16"/>
        <v>3.4712097756000784</v>
      </c>
      <c r="P87" s="72"/>
    </row>
    <row r="88" spans="1:16" x14ac:dyDescent="0.25">
      <c r="A88" s="69" t="s">
        <v>9</v>
      </c>
      <c r="B88" s="21">
        <v>444</v>
      </c>
      <c r="C88" s="21"/>
      <c r="D88" s="21" t="s">
        <v>20</v>
      </c>
      <c r="E88" s="21" t="s">
        <v>66</v>
      </c>
      <c r="F88" s="24">
        <v>503626.38239999994</v>
      </c>
      <c r="G88" s="25">
        <v>46362.884385137884</v>
      </c>
      <c r="H88" s="28">
        <v>19730</v>
      </c>
      <c r="I88" s="28">
        <v>2724.84</v>
      </c>
      <c r="J88" s="24">
        <f t="shared" si="12"/>
        <v>457263.49801486207</v>
      </c>
      <c r="K88" s="25">
        <f t="shared" si="13"/>
        <v>23.176051597306746</v>
      </c>
      <c r="L88" s="136">
        <f t="shared" si="14"/>
        <v>0.55030115530818602</v>
      </c>
      <c r="M88" s="71">
        <f t="shared" si="6"/>
        <v>9.2058093073278779E-2</v>
      </c>
      <c r="N88" s="71">
        <f t="shared" si="15"/>
        <v>1.9861270824372363</v>
      </c>
      <c r="O88" s="27">
        <f t="shared" si="16"/>
        <v>7.2407921199042873</v>
      </c>
      <c r="P88" s="72"/>
    </row>
    <row r="89" spans="1:16" x14ac:dyDescent="0.25">
      <c r="A89" s="69" t="s">
        <v>9</v>
      </c>
      <c r="B89" s="22">
        <v>445</v>
      </c>
      <c r="C89" s="22"/>
      <c r="D89" s="21" t="s">
        <v>20</v>
      </c>
      <c r="E89" s="22" t="s">
        <v>66</v>
      </c>
      <c r="F89" s="24">
        <v>168580.04010000001</v>
      </c>
      <c r="G89" s="25">
        <v>9211.4803238591248</v>
      </c>
      <c r="H89" s="29">
        <v>3920</v>
      </c>
      <c r="I89" s="30">
        <v>808.95</v>
      </c>
      <c r="J89" s="24">
        <f t="shared" si="12"/>
        <v>159368.5597761409</v>
      </c>
      <c r="K89" s="25">
        <f t="shared" si="13"/>
        <v>40.655244840852269</v>
      </c>
      <c r="L89" s="136">
        <f t="shared" si="14"/>
        <v>0.96533389698951411</v>
      </c>
      <c r="M89" s="71">
        <f t="shared" si="6"/>
        <v>5.4641583418742611E-2</v>
      </c>
      <c r="N89" s="71">
        <f t="shared" si="15"/>
        <v>1.1788765662224994</v>
      </c>
      <c r="O89" s="27">
        <f t="shared" si="16"/>
        <v>4.8457877495518877</v>
      </c>
      <c r="P89" s="72"/>
    </row>
    <row r="90" spans="1:16" x14ac:dyDescent="0.25">
      <c r="A90" s="69" t="s">
        <v>9</v>
      </c>
      <c r="B90" s="22">
        <v>446</v>
      </c>
      <c r="C90" s="22"/>
      <c r="D90" s="21" t="s">
        <v>20</v>
      </c>
      <c r="E90" s="22" t="s">
        <v>66</v>
      </c>
      <c r="F90" s="24">
        <v>149883.74159999998</v>
      </c>
      <c r="G90" s="25">
        <v>6657.1744279318618</v>
      </c>
      <c r="H90" s="29">
        <v>2833</v>
      </c>
      <c r="I90" s="30">
        <v>691.3599999999999</v>
      </c>
      <c r="J90" s="24">
        <f t="shared" si="12"/>
        <v>143226.56717206811</v>
      </c>
      <c r="K90" s="251">
        <f t="shared" si="13"/>
        <v>50.556500943193825</v>
      </c>
      <c r="L90" s="136">
        <f t="shared" si="14"/>
        <v>1.2004331609536125</v>
      </c>
      <c r="M90" s="71">
        <f t="shared" si="6"/>
        <v>4.4415587420402795E-2</v>
      </c>
      <c r="N90" s="71">
        <f t="shared" si="15"/>
        <v>0.95825362130628722</v>
      </c>
      <c r="O90" s="27">
        <f t="shared" si="16"/>
        <v>4.0977204350844714</v>
      </c>
      <c r="P90" s="72"/>
    </row>
    <row r="91" spans="1:16" x14ac:dyDescent="0.25">
      <c r="A91" s="69" t="s">
        <v>9</v>
      </c>
      <c r="B91" s="22">
        <v>447</v>
      </c>
      <c r="C91" s="22"/>
      <c r="D91" s="21" t="s">
        <v>20</v>
      </c>
      <c r="E91" s="22" t="s">
        <v>66</v>
      </c>
      <c r="F91" s="24">
        <v>223893.94499999998</v>
      </c>
      <c r="G91" s="25">
        <v>5752.4754675528411</v>
      </c>
      <c r="H91" s="29">
        <v>2448</v>
      </c>
      <c r="I91" s="30">
        <v>1215.7999999999997</v>
      </c>
      <c r="J91" s="24">
        <f t="shared" si="12"/>
        <v>218141.46953244714</v>
      </c>
      <c r="K91" s="252">
        <f t="shared" si="13"/>
        <v>89.110077423385263</v>
      </c>
      <c r="L91" s="136">
        <f t="shared" si="14"/>
        <v>2.1158642294958203</v>
      </c>
      <c r="M91" s="256">
        <f t="shared" si="6"/>
        <v>2.5692858587814161E-2</v>
      </c>
      <c r="N91" s="71">
        <f t="shared" si="15"/>
        <v>0.55431609066536092</v>
      </c>
      <c r="O91" s="27">
        <f t="shared" si="16"/>
        <v>2.0134890607007736</v>
      </c>
      <c r="P91" s="72"/>
    </row>
    <row r="92" spans="1:16" x14ac:dyDescent="0.25">
      <c r="A92" s="69" t="s">
        <v>9</v>
      </c>
      <c r="B92" s="22">
        <v>497</v>
      </c>
      <c r="C92" s="22"/>
      <c r="D92" s="21" t="s">
        <v>20</v>
      </c>
      <c r="E92" s="22" t="s">
        <v>66</v>
      </c>
      <c r="F92" s="24">
        <v>75665.102099999989</v>
      </c>
      <c r="G92" s="25">
        <v>2507.3085473361443</v>
      </c>
      <c r="H92" s="29">
        <v>1067</v>
      </c>
      <c r="I92" s="30">
        <v>394.15999999999997</v>
      </c>
      <c r="J92" s="24">
        <f t="shared" si="12"/>
        <v>73157.793552663847</v>
      </c>
      <c r="K92" s="252">
        <f t="shared" si="13"/>
        <v>68.564005203996103</v>
      </c>
      <c r="L92" s="136">
        <f t="shared" si="14"/>
        <v>1.6280103242737076</v>
      </c>
      <c r="M92" s="255">
        <f t="shared" si="6"/>
        <v>3.3136921483598245E-2</v>
      </c>
      <c r="N92" s="71">
        <f t="shared" si="15"/>
        <v>0.71491962292530131</v>
      </c>
      <c r="O92" s="27">
        <f t="shared" si="16"/>
        <v>2.7070225289222654</v>
      </c>
      <c r="P92" s="72"/>
    </row>
    <row r="93" spans="1:16" x14ac:dyDescent="0.25">
      <c r="A93" s="69" t="s">
        <v>9</v>
      </c>
      <c r="B93" s="22">
        <v>499</v>
      </c>
      <c r="C93" s="22"/>
      <c r="D93" s="21" t="s">
        <v>20</v>
      </c>
      <c r="E93" s="22" t="s">
        <v>66</v>
      </c>
      <c r="F93" s="24">
        <v>80600.421299999973</v>
      </c>
      <c r="G93" s="25">
        <v>2143.0790957549798</v>
      </c>
      <c r="H93" s="29">
        <v>912</v>
      </c>
      <c r="I93" s="30">
        <v>390.14999999999992</v>
      </c>
      <c r="J93" s="24">
        <f t="shared" si="12"/>
        <v>78457.342204244997</v>
      </c>
      <c r="K93" s="252">
        <f t="shared" si="13"/>
        <v>86.027787504654597</v>
      </c>
      <c r="L93" s="136">
        <f t="shared" si="14"/>
        <v>2.0426771425517538</v>
      </c>
      <c r="M93" s="256">
        <f t="shared" si="6"/>
        <v>2.658893168533575E-2</v>
      </c>
      <c r="N93" s="71">
        <f t="shared" si="15"/>
        <v>0.57364861198333328</v>
      </c>
      <c r="O93" s="27">
        <f t="shared" si="16"/>
        <v>2.3375624759707812</v>
      </c>
      <c r="P93" s="72"/>
    </row>
    <row r="94" spans="1:16" x14ac:dyDescent="0.25">
      <c r="A94" s="69" t="s">
        <v>9</v>
      </c>
      <c r="B94" s="22">
        <v>495</v>
      </c>
      <c r="C94" s="22"/>
      <c r="D94" s="21" t="s">
        <v>99</v>
      </c>
      <c r="E94" s="22" t="s">
        <v>33</v>
      </c>
      <c r="F94" s="24">
        <v>1405413.2783999997</v>
      </c>
      <c r="G94" s="25">
        <v>157659.65545119392</v>
      </c>
      <c r="H94" s="29">
        <v>67093</v>
      </c>
      <c r="I94" s="30">
        <v>7366.61</v>
      </c>
      <c r="J94" s="24">
        <f t="shared" si="12"/>
        <v>1247753.6229488058</v>
      </c>
      <c r="K94" s="25">
        <f t="shared" si="13"/>
        <v>18.59737413662835</v>
      </c>
      <c r="L94" s="136">
        <f t="shared" si="14"/>
        <v>0.53892595123273412</v>
      </c>
      <c r="M94" s="71">
        <f t="shared" si="6"/>
        <v>0.11218028025939986</v>
      </c>
      <c r="N94" s="71">
        <f t="shared" si="15"/>
        <v>1.8097391070359325</v>
      </c>
      <c r="O94" s="27">
        <f t="shared" si="16"/>
        <v>9.1077171181859775</v>
      </c>
      <c r="P94" s="72"/>
    </row>
    <row r="95" spans="1:16" x14ac:dyDescent="0.25">
      <c r="A95" s="69" t="s">
        <v>9</v>
      </c>
      <c r="B95" s="22">
        <v>498</v>
      </c>
      <c r="C95" s="22"/>
      <c r="D95" s="21" t="s">
        <v>99</v>
      </c>
      <c r="E95" s="22" t="s">
        <v>33</v>
      </c>
      <c r="F95" s="24">
        <v>1081553.6491999999</v>
      </c>
      <c r="G95" s="25">
        <v>12144.114875944886</v>
      </c>
      <c r="H95" s="29">
        <v>5168</v>
      </c>
      <c r="I95" s="30">
        <v>5401.55</v>
      </c>
      <c r="J95" s="24">
        <f t="shared" si="12"/>
        <v>1069409.5343240551</v>
      </c>
      <c r="K95" s="252">
        <f t="shared" si="13"/>
        <v>206.92908945898898</v>
      </c>
      <c r="L95" s="136">
        <f t="shared" si="14"/>
        <v>5.9965162584306286</v>
      </c>
      <c r="M95" s="258">
        <f t="shared" ref="M95:M96" si="17">G95/F95</f>
        <v>1.1228398041028853E-2</v>
      </c>
      <c r="N95" s="71">
        <f t="shared" si="15"/>
        <v>0.18114120411562146</v>
      </c>
      <c r="O95" s="27">
        <f t="shared" si="16"/>
        <v>0.95676241078949553</v>
      </c>
      <c r="P95" s="72" t="s">
        <v>100</v>
      </c>
    </row>
    <row r="96" spans="1:16" x14ac:dyDescent="0.25">
      <c r="A96" s="69" t="s">
        <v>9</v>
      </c>
      <c r="B96" s="22">
        <v>495</v>
      </c>
      <c r="C96" s="22"/>
      <c r="D96" s="21" t="s">
        <v>99</v>
      </c>
      <c r="E96" s="22" t="s">
        <v>65</v>
      </c>
      <c r="F96" s="24">
        <v>314351.01570000005</v>
      </c>
      <c r="G96" s="25">
        <v>29848.016090219029</v>
      </c>
      <c r="H96" s="29">
        <v>12702</v>
      </c>
      <c r="I96" s="30">
        <v>1565.9999999999998</v>
      </c>
      <c r="J96" s="24">
        <f t="shared" si="12"/>
        <v>284502.99960978102</v>
      </c>
      <c r="K96" s="25">
        <f t="shared" si="13"/>
        <v>22.398283704123841</v>
      </c>
      <c r="L96" s="136">
        <f t="shared" si="14"/>
        <v>0.70968201334214431</v>
      </c>
      <c r="M96" s="71">
        <f t="shared" si="17"/>
        <v>9.4951231583435991E-2</v>
      </c>
      <c r="N96" s="71">
        <f t="shared" si="15"/>
        <v>1.7531312157810668</v>
      </c>
      <c r="O96" s="27">
        <f t="shared" si="16"/>
        <v>8.1111111111111125</v>
      </c>
      <c r="P96" s="72"/>
    </row>
    <row r="97" spans="1:16" ht="15.75" thickBot="1" x14ac:dyDescent="0.3">
      <c r="A97" s="73" t="s">
        <v>9</v>
      </c>
      <c r="B97" s="120">
        <v>495</v>
      </c>
      <c r="C97" s="120"/>
      <c r="D97" s="75" t="s">
        <v>99</v>
      </c>
      <c r="E97" s="120" t="s">
        <v>66</v>
      </c>
      <c r="F97" s="121">
        <v>337691.66219999996</v>
      </c>
      <c r="G97" s="78">
        <v>27599.192960134034</v>
      </c>
      <c r="H97" s="122">
        <v>11745</v>
      </c>
      <c r="I97" s="123">
        <v>1683.94</v>
      </c>
      <c r="J97" s="121">
        <f t="shared" si="12"/>
        <v>310092.46923986595</v>
      </c>
      <c r="K97" s="78">
        <f t="shared" si="13"/>
        <v>26.402083375041801</v>
      </c>
      <c r="L97" s="142">
        <f t="shared" si="14"/>
        <v>0.62690130468629779</v>
      </c>
      <c r="M97" s="79">
        <f>G97/F97</f>
        <v>8.1728973645159894E-2</v>
      </c>
      <c r="N97" s="79">
        <f t="shared" si="15"/>
        <v>1.7632792789574758</v>
      </c>
      <c r="O97" s="80">
        <f t="shared" si="16"/>
        <v>6.9747140634464406</v>
      </c>
      <c r="P97" s="81"/>
    </row>
    <row r="98" spans="1:16" ht="15.75" thickTop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9"/>
      <c r="K98" s="21"/>
      <c r="L98" s="21"/>
      <c r="O98" s="21"/>
      <c r="P98" s="19"/>
    </row>
    <row r="99" spans="1:16" ht="15.75" thickBot="1" x14ac:dyDescent="0.3">
      <c r="A99" s="21"/>
      <c r="B99" s="21"/>
      <c r="C99" s="21"/>
      <c r="D99" s="21"/>
      <c r="E99" s="268" t="s">
        <v>113</v>
      </c>
      <c r="F99" s="268"/>
      <c r="G99" s="268"/>
      <c r="H99" s="268"/>
      <c r="I99" s="268"/>
      <c r="J99" s="268"/>
      <c r="K99" s="268"/>
      <c r="O99" s="21"/>
      <c r="P99" s="19"/>
    </row>
    <row r="100" spans="1:16" ht="36" x14ac:dyDescent="0.25">
      <c r="A100" s="21"/>
      <c r="B100" s="21"/>
      <c r="C100" s="21"/>
      <c r="D100" s="21"/>
      <c r="E100" s="82" t="s">
        <v>63</v>
      </c>
      <c r="F100" s="126" t="s">
        <v>44</v>
      </c>
      <c r="G100" s="127" t="s">
        <v>45</v>
      </c>
      <c r="H100" s="127" t="s">
        <v>46</v>
      </c>
      <c r="I100" s="127" t="s">
        <v>47</v>
      </c>
      <c r="J100" s="128" t="s">
        <v>48</v>
      </c>
      <c r="K100" s="85" t="s">
        <v>62</v>
      </c>
      <c r="O100" s="21"/>
      <c r="P100" s="19"/>
    </row>
    <row r="101" spans="1:16" x14ac:dyDescent="0.25">
      <c r="A101" s="21"/>
      <c r="B101" s="21"/>
      <c r="C101" s="21"/>
      <c r="D101" s="21"/>
      <c r="E101" s="86">
        <f>COUNTIF($E$4:$E$97, "Weekdays")</f>
        <v>41</v>
      </c>
      <c r="F101" s="93" t="s">
        <v>33</v>
      </c>
      <c r="G101" s="94">
        <f>AVERAGEIF($E$4:$E$97,"Weekdays",K4:K97)</f>
        <v>34.508217862006632</v>
      </c>
      <c r="H101" s="95">
        <f>G101*1.2</f>
        <v>41.409861434407958</v>
      </c>
      <c r="I101" s="96">
        <f>G101*1.35</f>
        <v>46.586094113708953</v>
      </c>
      <c r="J101" s="97">
        <f>G101*1.6</f>
        <v>55.21314857921061</v>
      </c>
      <c r="K101" s="92">
        <f>+SUMIF($E$4:$E$97,"Weekdays",$J$4:$J$97)/SUMIF($E$4:$E$97,"Weekdays",$H$4:$H$97)</f>
        <v>19.11035953795156</v>
      </c>
      <c r="O101" s="21"/>
      <c r="P101" s="19"/>
    </row>
    <row r="102" spans="1:16" x14ac:dyDescent="0.25">
      <c r="A102" s="21"/>
      <c r="B102" s="21"/>
      <c r="C102" s="21"/>
      <c r="D102" s="21"/>
      <c r="E102" s="86">
        <f>COUNTIF($E$4:$E$97, "Saturdays")</f>
        <v>30</v>
      </c>
      <c r="F102" s="93" t="s">
        <v>65</v>
      </c>
      <c r="G102" s="94">
        <f>AVERAGEIF($E$4:$E$97,"Saturdays",K4:K97)</f>
        <v>31.561013641366475</v>
      </c>
      <c r="H102" s="95">
        <f>G102*1.2</f>
        <v>37.873216369639771</v>
      </c>
      <c r="I102" s="96">
        <f>G102*1.35</f>
        <v>42.607368415844746</v>
      </c>
      <c r="J102" s="97">
        <f>G102*1.6</f>
        <v>50.497621826186361</v>
      </c>
      <c r="K102" s="92">
        <f>+SUMIF($E$4:$E$97,"saturdays",$J$4:$J$97)/SUMIF($E$4:$E$97,"saturdays",$H$4:$H$97)</f>
        <v>19.631290430218705</v>
      </c>
      <c r="O102" s="21"/>
      <c r="P102" s="19"/>
    </row>
    <row r="103" spans="1:16" ht="15.75" thickBot="1" x14ac:dyDescent="0.3">
      <c r="A103" s="21"/>
      <c r="B103" s="21"/>
      <c r="C103" s="21"/>
      <c r="D103" s="21"/>
      <c r="E103" s="98">
        <f>COUNTIF($E$4:$E$97, "Sundays")</f>
        <v>23</v>
      </c>
      <c r="F103" s="93" t="s">
        <v>66</v>
      </c>
      <c r="G103" s="129">
        <f>AVERAGEIF($E$4:$E$97,"Sundays",K4:K97)</f>
        <v>42.115215230335878</v>
      </c>
      <c r="H103" s="95">
        <f>G103*1.2</f>
        <v>50.538258276403049</v>
      </c>
      <c r="I103" s="96">
        <f>G103*1.35</f>
        <v>56.855540560953436</v>
      </c>
      <c r="J103" s="97">
        <f>G103*1.6</f>
        <v>67.384344368537413</v>
      </c>
      <c r="K103" s="108">
        <f>+SUMIF($E$4:$E$97,"Sundays",$J$4:$J$97)/SUMIF($E$4:$E$97,"Sundays",$H$4:$H$97)</f>
        <v>23.107784780564248</v>
      </c>
      <c r="O103" s="21"/>
      <c r="P103" s="19"/>
    </row>
    <row r="104" spans="1:16" ht="15.75" thickBot="1" x14ac:dyDescent="0.3">
      <c r="A104" s="21"/>
      <c r="B104" s="21"/>
      <c r="C104" s="21"/>
      <c r="D104" s="21"/>
      <c r="E104" s="21"/>
      <c r="F104" s="104" t="s">
        <v>61</v>
      </c>
      <c r="G104" s="105">
        <v>10</v>
      </c>
      <c r="H104" s="106"/>
      <c r="I104" s="106"/>
      <c r="J104" s="107"/>
      <c r="K104" s="108">
        <f>+SUM($J$4:$J$97)/SUM($H$4:$H$97)</f>
        <v>19.491278253643515</v>
      </c>
      <c r="O104" s="21"/>
      <c r="P104" s="19"/>
    </row>
    <row r="105" spans="1:16" ht="15.75" thickBot="1" x14ac:dyDescent="0.3">
      <c r="E105" s="270" t="s">
        <v>112</v>
      </c>
      <c r="F105" s="270"/>
      <c r="G105" s="270"/>
      <c r="H105" s="270"/>
      <c r="I105" s="270"/>
      <c r="J105" s="270"/>
      <c r="K105" s="270"/>
    </row>
    <row r="106" spans="1:16" ht="36" x14ac:dyDescent="0.25">
      <c r="E106" s="248"/>
      <c r="F106" s="82" t="s">
        <v>44</v>
      </c>
      <c r="G106" s="83" t="s">
        <v>45</v>
      </c>
      <c r="H106" s="83" t="s">
        <v>46</v>
      </c>
      <c r="I106" s="83" t="s">
        <v>47</v>
      </c>
      <c r="J106" s="84" t="s">
        <v>48</v>
      </c>
      <c r="K106" s="85" t="s">
        <v>62</v>
      </c>
    </row>
    <row r="107" spans="1:16" x14ac:dyDescent="0.25">
      <c r="E107" s="249"/>
      <c r="F107" s="87" t="s">
        <v>33</v>
      </c>
      <c r="G107" s="229">
        <f>AVERAGEIF($E$4:$E$97,"Weekdays",$M$4:$M$97)</f>
        <v>6.1986990181769057E-2</v>
      </c>
      <c r="H107" s="230">
        <f>G107*0.8</f>
        <v>4.9589592145415251E-2</v>
      </c>
      <c r="I107" s="231">
        <f>G107*0.65</f>
        <v>4.0291543618149891E-2</v>
      </c>
      <c r="J107" s="232">
        <f>G107*0.4</f>
        <v>2.4794796072707626E-2</v>
      </c>
      <c r="K107" s="237">
        <f>+SUMIF($E$4:$E$97,"Weekdays",$G$4:$G$97)/SUMIF($E$4:$E$97,"Weekdays",$F$4:$F$97)</f>
        <v>6.4387345728538423E-2</v>
      </c>
    </row>
    <row r="108" spans="1:16" x14ac:dyDescent="0.25">
      <c r="E108" s="249"/>
      <c r="F108" s="93" t="s">
        <v>65</v>
      </c>
      <c r="G108" s="233">
        <f>AVERAGEIF($E$4:$E$97,"Saturdays",$M$4:$M$97)</f>
        <v>5.4160938285006052E-2</v>
      </c>
      <c r="H108" s="234">
        <f>G108*0.8</f>
        <v>4.3328750628004842E-2</v>
      </c>
      <c r="I108" s="235">
        <f>G108*0.65</f>
        <v>3.5204609885253937E-2</v>
      </c>
      <c r="J108" s="236">
        <f>G108*0.4</f>
        <v>2.1664375314002421E-2</v>
      </c>
      <c r="K108" s="237">
        <f>+SUMIF($E$4:$E$97,"Saturdays",$G$4:$G$97)/SUMIF($E$4:$E$97,"Saturdays",$F$4:$F$97)</f>
        <v>5.887205703650298E-2</v>
      </c>
    </row>
    <row r="109" spans="1:16" x14ac:dyDescent="0.25">
      <c r="E109" s="249"/>
      <c r="F109" s="99" t="s">
        <v>66</v>
      </c>
      <c r="G109" s="244">
        <f>AVERAGEIF($E$4:$E$97,"Sundays",$M$4:$M$97)</f>
        <v>4.6350555252643512E-2</v>
      </c>
      <c r="H109" s="245">
        <f>G109*0.8</f>
        <v>3.7080444202114808E-2</v>
      </c>
      <c r="I109" s="246">
        <f>G109*0.65</f>
        <v>3.0127860914218284E-2</v>
      </c>
      <c r="J109" s="247">
        <f>G109*0.4</f>
        <v>1.8540222101057404E-2</v>
      </c>
      <c r="K109" s="237">
        <f>+SUMIF($E$4:$E$97,"Sundays",$G$4:$G$97)/SUMIF($E$4:$E$97,"Sundays",$F$4:$F$97)</f>
        <v>5.1475229788961303E-2</v>
      </c>
    </row>
    <row r="110" spans="1:16" ht="15.75" thickBot="1" x14ac:dyDescent="0.3">
      <c r="E110" s="56"/>
      <c r="F110" s="145" t="s">
        <v>115</v>
      </c>
      <c r="G110" s="239">
        <f>AVERAGE(M:M)</f>
        <v>5.5663377838441649E-2</v>
      </c>
      <c r="H110" s="240">
        <f>G110*0.8</f>
        <v>4.4530702270753321E-2</v>
      </c>
      <c r="I110" s="241">
        <f>G110*0.65</f>
        <v>3.6181195594987073E-2</v>
      </c>
      <c r="J110" s="242">
        <f>G110*0.4</f>
        <v>2.226535113537666E-2</v>
      </c>
      <c r="K110" s="238">
        <f>+SUM($G$4:$G$97)/SUM($F$4:$F$97)</f>
        <v>6.2572986375698511E-2</v>
      </c>
    </row>
  </sheetData>
  <autoFilter ref="A3:P97" xr:uid="{A7699148-0E12-4E72-99D8-E08F9F3D27D6}"/>
  <sortState xmlns:xlrd2="http://schemas.microsoft.com/office/spreadsheetml/2017/richdata2" ref="A4:P93">
    <sortCondition ref="E4:E93" customList="Weekday,Wk,Saturday,Sat,Sunday,Sun,Sunday/Holiday,Sunday / Holiday,Reduced"/>
    <sortCondition ref="B4:B93"/>
  </sortState>
  <mergeCells count="3">
    <mergeCell ref="A2:P2"/>
    <mergeCell ref="E99:K99"/>
    <mergeCell ref="E105:K105"/>
  </mergeCells>
  <conditionalFormatting sqref="A4:I59">
    <cfRule type="expression" dxfId="60" priority="11">
      <formula>(ROW(A4)-1)/3=ROUND((ROW(A4)-1)/3,0)</formula>
    </cfRule>
  </conditionalFormatting>
  <conditionalFormatting sqref="L1 L4:L97">
    <cfRule type="cellIs" dxfId="59" priority="17" operator="greaterThan">
      <formula>1.6</formula>
    </cfRule>
  </conditionalFormatting>
  <conditionalFormatting sqref="L4:L97">
    <cfRule type="cellIs" dxfId="58" priority="15" operator="between">
      <formula>1.35</formula>
      <formula>1.6</formula>
    </cfRule>
    <cfRule type="cellIs" dxfId="57" priority="16" operator="between">
      <formula>1.2</formula>
      <formula>1.35</formula>
    </cfRule>
  </conditionalFormatting>
  <conditionalFormatting sqref="N4:N97">
    <cfRule type="cellIs" dxfId="56" priority="1" operator="lessThan">
      <formula>0.4</formula>
    </cfRule>
    <cfRule type="cellIs" dxfId="55" priority="2" operator="between">
      <formula>0.65</formula>
      <formula>0.4</formula>
    </cfRule>
    <cfRule type="cellIs" dxfId="54" priority="3" operator="between">
      <formula>0.8</formula>
      <formula>0.65</formula>
    </cfRule>
  </conditionalFormatting>
  <conditionalFormatting sqref="O4:O97">
    <cfRule type="cellIs" dxfId="53" priority="43" operator="lessThan">
      <formula>10</formula>
    </cfRule>
  </conditionalFormatting>
  <conditionalFormatting sqref="P44:P59">
    <cfRule type="expression" dxfId="52" priority="10">
      <formula>(ROW(P44)-1)/3=ROUND((ROW(P44)-1)/3,0)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87BB-8D16-4B1E-AAF0-49890808CA53}">
  <dimension ref="A1:T9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6" sqref="D6:E6"/>
    </sheetView>
  </sheetViews>
  <sheetFormatPr defaultRowHeight="15" x14ac:dyDescent="0.25"/>
  <cols>
    <col min="1" max="1" width="25.5703125" bestFit="1" customWidth="1"/>
    <col min="2" max="2" width="9.42578125" customWidth="1"/>
    <col min="3" max="3" width="8.7109375" customWidth="1"/>
    <col min="4" max="4" width="20.7109375" customWidth="1"/>
    <col min="5" max="5" width="10.7109375" customWidth="1"/>
    <col min="6" max="6" width="12.7109375" bestFit="1" customWidth="1"/>
    <col min="7" max="7" width="15.140625" bestFit="1" customWidth="1"/>
    <col min="8" max="8" width="12.7109375" bestFit="1" customWidth="1"/>
    <col min="9" max="9" width="14.42578125" customWidth="1"/>
    <col min="10" max="10" width="12.7109375" customWidth="1"/>
    <col min="11" max="11" width="11.7109375" customWidth="1"/>
    <col min="12" max="14" width="14.140625" customWidth="1"/>
    <col min="15" max="15" width="13.42578125" customWidth="1"/>
    <col min="16" max="16" width="35.7109375" customWidth="1"/>
    <col min="17" max="17" width="14.7109375" bestFit="1" customWidth="1"/>
    <col min="18" max="18" width="13.7109375" bestFit="1" customWidth="1"/>
  </cols>
  <sheetData>
    <row r="1" spans="1:20" ht="22.5" x14ac:dyDescent="0.45">
      <c r="A1" s="13" t="s">
        <v>52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O1" s="14"/>
      <c r="P1" s="14"/>
    </row>
    <row r="2" spans="1:20" ht="37.5" thickBot="1" x14ac:dyDescent="0.75">
      <c r="A2" s="266" t="s">
        <v>101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47"/>
    </row>
    <row r="3" spans="1:20" s="6" customFormat="1" ht="75.75" thickBot="1" x14ac:dyDescent="0.3">
      <c r="A3" s="57" t="s">
        <v>8</v>
      </c>
      <c r="B3" s="58" t="s">
        <v>77</v>
      </c>
      <c r="C3" s="49" t="s">
        <v>78</v>
      </c>
      <c r="D3" s="49" t="s">
        <v>0</v>
      </c>
      <c r="E3" s="51" t="s">
        <v>1</v>
      </c>
      <c r="F3" s="51" t="s">
        <v>2</v>
      </c>
      <c r="G3" s="51" t="s">
        <v>38</v>
      </c>
      <c r="H3" s="52" t="s">
        <v>40</v>
      </c>
      <c r="I3" s="52" t="s">
        <v>64</v>
      </c>
      <c r="J3" s="53" t="s">
        <v>39</v>
      </c>
      <c r="K3" s="54" t="s">
        <v>14</v>
      </c>
      <c r="L3" s="54" t="s">
        <v>75</v>
      </c>
      <c r="M3" s="227" t="s">
        <v>112</v>
      </c>
      <c r="N3" s="227" t="s">
        <v>114</v>
      </c>
      <c r="O3" s="59" t="s">
        <v>42</v>
      </c>
      <c r="P3" s="57" t="s">
        <v>43</v>
      </c>
    </row>
    <row r="4" spans="1:20" ht="15.75" thickTop="1" x14ac:dyDescent="0.25">
      <c r="A4" s="93" t="s">
        <v>67</v>
      </c>
      <c r="B4" s="22">
        <v>921</v>
      </c>
      <c r="C4" s="22" t="s">
        <v>82</v>
      </c>
      <c r="D4" s="21" t="s">
        <v>53</v>
      </c>
      <c r="E4" s="22" t="s">
        <v>33</v>
      </c>
      <c r="F4" s="24">
        <v>6904527.5398289943</v>
      </c>
      <c r="G4" s="31">
        <v>570507.61747332197</v>
      </c>
      <c r="H4" s="29">
        <v>893248</v>
      </c>
      <c r="I4" s="30">
        <v>21133.390000000101</v>
      </c>
      <c r="J4" s="24">
        <f t="shared" ref="J4:J12" si="0">F4-G4</f>
        <v>6334019.9223556723</v>
      </c>
      <c r="K4" s="25">
        <f t="shared" ref="K4:K12" si="1">J4/H4</f>
        <v>7.0909981576848446</v>
      </c>
      <c r="L4" s="71">
        <f>+IF(E4="Weekdays",K4/$G$19,IF(E4="Saturdays",K4/$G$20,IF(E4="Sundays",K4/$G$21, "NA")))</f>
        <v>1.1434390536190686</v>
      </c>
      <c r="M4" s="66">
        <f>(G4/F4)</f>
        <v>8.2628045754373491E-2</v>
      </c>
      <c r="N4" s="66">
        <f>+IF(E4="Weekdays",M4/$G$25,IF(E4="Saturdays",M4/$G$26,IF(E4="Sundays",M4/$G$27,"NA")))</f>
        <v>1.2637978955841165</v>
      </c>
      <c r="O4" s="132">
        <f t="shared" ref="O4:O12" si="2">H4/I4</f>
        <v>42.267142185896141</v>
      </c>
      <c r="P4" s="143"/>
    </row>
    <row r="5" spans="1:20" ht="15.75" customHeight="1" x14ac:dyDescent="0.25">
      <c r="A5" s="93" t="s">
        <v>67</v>
      </c>
      <c r="B5" s="22">
        <v>923</v>
      </c>
      <c r="C5" s="22" t="s">
        <v>83</v>
      </c>
      <c r="D5" s="21" t="s">
        <v>53</v>
      </c>
      <c r="E5" s="22" t="s">
        <v>33</v>
      </c>
      <c r="F5" s="24">
        <v>8938745.1915115342</v>
      </c>
      <c r="G5" s="24">
        <v>573555.92908031726</v>
      </c>
      <c r="H5" s="29">
        <v>1350230</v>
      </c>
      <c r="I5" s="30">
        <v>29062.27000000011</v>
      </c>
      <c r="J5" s="24">
        <f t="shared" si="0"/>
        <v>8365189.2624312174</v>
      </c>
      <c r="K5" s="25">
        <f t="shared" si="1"/>
        <v>6.195380981337415</v>
      </c>
      <c r="L5" s="71">
        <f>+IF(E5="Weekdays",K5/$G$19,IF(E5="Saturdays",K5/$G$20,IF(E5="Sundays",K5/$G$21, "NA")))</f>
        <v>0.99901881351255539</v>
      </c>
      <c r="M5" s="71">
        <f t="shared" ref="M5:M12" si="3">G5/F5</f>
        <v>6.4165150341793042E-2</v>
      </c>
      <c r="N5" s="71">
        <f t="shared" ref="N5:N12" si="4">+IF(E5="Weekdays",M5/$G$25,IF(E5="Saturdays",M5/$G$26,IF(E5="Sundays",M5/$G$27,"NA")))</f>
        <v>0.98140747770867276</v>
      </c>
      <c r="O5" s="132">
        <f t="shared" si="2"/>
        <v>46.459894564326703</v>
      </c>
      <c r="P5" s="143"/>
    </row>
    <row r="6" spans="1:20" x14ac:dyDescent="0.25">
      <c r="A6" s="93" t="s">
        <v>67</v>
      </c>
      <c r="B6" s="22">
        <v>924</v>
      </c>
      <c r="C6" s="22" t="s">
        <v>84</v>
      </c>
      <c r="D6" s="21" t="s">
        <v>53</v>
      </c>
      <c r="E6" s="22" t="s">
        <v>33</v>
      </c>
      <c r="F6" s="24">
        <v>16743147.901733719</v>
      </c>
      <c r="G6" s="24">
        <v>826258.17019974603</v>
      </c>
      <c r="H6" s="29">
        <v>2993011.5257387073</v>
      </c>
      <c r="I6" s="30">
        <v>60496.569999999927</v>
      </c>
      <c r="J6" s="24">
        <f t="shared" si="0"/>
        <v>15916889.731533973</v>
      </c>
      <c r="K6" s="25">
        <f t="shared" si="1"/>
        <v>5.318018188254559</v>
      </c>
      <c r="L6" s="71">
        <f t="shared" ref="L6:L12" si="5">+IF(E6="Weekdays",K6/$G$19,IF(E6="Saturdays",K6/$G$20,IF(E6="Sundays",K6/$G$21, "NA")))</f>
        <v>0.85754213286837599</v>
      </c>
      <c r="M6" s="255">
        <f t="shared" si="3"/>
        <v>4.9349033709138332E-2</v>
      </c>
      <c r="N6" s="71">
        <f t="shared" si="4"/>
        <v>0.75479462670721054</v>
      </c>
      <c r="O6" s="132">
        <f t="shared" si="2"/>
        <v>49.474069781786156</v>
      </c>
      <c r="P6" s="143"/>
    </row>
    <row r="7" spans="1:20" x14ac:dyDescent="0.25">
      <c r="A7" s="93" t="s">
        <v>67</v>
      </c>
      <c r="B7" s="22">
        <v>921</v>
      </c>
      <c r="C7" s="22" t="s">
        <v>82</v>
      </c>
      <c r="D7" s="21" t="s">
        <v>53</v>
      </c>
      <c r="E7" s="22" t="s">
        <v>65</v>
      </c>
      <c r="F7" s="24">
        <v>1292183.2122800294</v>
      </c>
      <c r="G7" s="24">
        <v>98874.947650938338</v>
      </c>
      <c r="H7" s="29">
        <v>169109</v>
      </c>
      <c r="I7" s="30">
        <v>3905.1999999999966</v>
      </c>
      <c r="J7" s="24">
        <f t="shared" si="0"/>
        <v>1193308.2646290911</v>
      </c>
      <c r="K7" s="25">
        <f t="shared" si="1"/>
        <v>7.0564444507926316</v>
      </c>
      <c r="L7" s="71">
        <f>+IF(E7="Weekdays",K7/$G$19,IF(E7="Saturdays",K7/$G$20,IF(E7="Sundays",K7/$G$21, "NA")))</f>
        <v>1.0141587542583217</v>
      </c>
      <c r="M7" s="71">
        <f t="shared" si="3"/>
        <v>7.6517746640954745E-2</v>
      </c>
      <c r="N7" s="71">
        <f t="shared" si="4"/>
        <v>1.5306163212820143</v>
      </c>
      <c r="O7" s="132">
        <f t="shared" si="2"/>
        <v>43.303543992625258</v>
      </c>
      <c r="P7" s="143"/>
    </row>
    <row r="8" spans="1:20" x14ac:dyDescent="0.25">
      <c r="A8" s="93" t="s">
        <v>67</v>
      </c>
      <c r="B8" s="22">
        <v>923</v>
      </c>
      <c r="C8" s="22" t="s">
        <v>83</v>
      </c>
      <c r="D8" s="21" t="s">
        <v>53</v>
      </c>
      <c r="E8" s="22" t="s">
        <v>65</v>
      </c>
      <c r="F8" s="24">
        <v>1620672.8568987977</v>
      </c>
      <c r="G8" s="24">
        <v>63324.726145694825</v>
      </c>
      <c r="H8" s="29">
        <v>203833</v>
      </c>
      <c r="I8" s="30">
        <v>5179.9100000000026</v>
      </c>
      <c r="J8" s="24">
        <f t="shared" si="0"/>
        <v>1557348.1307531029</v>
      </c>
      <c r="K8" s="25">
        <f t="shared" si="1"/>
        <v>7.6403140352793857</v>
      </c>
      <c r="L8" s="71">
        <f t="shared" si="5"/>
        <v>1.0980730335503377</v>
      </c>
      <c r="M8" s="255">
        <f t="shared" si="3"/>
        <v>3.907310835504979E-2</v>
      </c>
      <c r="N8" s="71">
        <f t="shared" si="4"/>
        <v>0.78159564280019966</v>
      </c>
      <c r="O8" s="132">
        <f t="shared" si="2"/>
        <v>39.350683699137612</v>
      </c>
      <c r="P8" s="143"/>
    </row>
    <row r="9" spans="1:20" x14ac:dyDescent="0.25">
      <c r="A9" s="93" t="s">
        <v>67</v>
      </c>
      <c r="B9" s="22">
        <v>924</v>
      </c>
      <c r="C9" s="22" t="s">
        <v>84</v>
      </c>
      <c r="D9" s="21" t="s">
        <v>53</v>
      </c>
      <c r="E9" s="22" t="s">
        <v>65</v>
      </c>
      <c r="F9" s="24">
        <v>3253925.1417523129</v>
      </c>
      <c r="G9" s="24">
        <v>111881.42948454627</v>
      </c>
      <c r="H9" s="29">
        <v>508665.92893546604</v>
      </c>
      <c r="I9" s="30">
        <v>11784.160000000002</v>
      </c>
      <c r="J9" s="24">
        <f t="shared" si="0"/>
        <v>3142043.7122677667</v>
      </c>
      <c r="K9" s="25">
        <f t="shared" si="1"/>
        <v>6.1770280522688497</v>
      </c>
      <c r="L9" s="71">
        <f t="shared" si="5"/>
        <v>0.88776821219134094</v>
      </c>
      <c r="M9" s="255">
        <f t="shared" si="3"/>
        <v>3.4383529002850868E-2</v>
      </c>
      <c r="N9" s="71">
        <f t="shared" si="4"/>
        <v>0.68778803591778614</v>
      </c>
      <c r="O9" s="132">
        <f t="shared" si="2"/>
        <v>43.165225941897084</v>
      </c>
      <c r="P9" s="143"/>
      <c r="Q9" s="2"/>
      <c r="S9" s="2"/>
      <c r="T9" s="2"/>
    </row>
    <row r="10" spans="1:20" x14ac:dyDescent="0.25">
      <c r="A10" s="93" t="s">
        <v>67</v>
      </c>
      <c r="B10" s="22">
        <v>921</v>
      </c>
      <c r="C10" s="22" t="s">
        <v>82</v>
      </c>
      <c r="D10" s="21" t="s">
        <v>53</v>
      </c>
      <c r="E10" s="22" t="s">
        <v>66</v>
      </c>
      <c r="F10" s="24">
        <v>1383641.4139696392</v>
      </c>
      <c r="G10" s="24">
        <v>75698.547277645965</v>
      </c>
      <c r="H10" s="29">
        <v>153792</v>
      </c>
      <c r="I10" s="30">
        <v>4062.9000000000042</v>
      </c>
      <c r="J10" s="24">
        <f t="shared" si="0"/>
        <v>1307942.8666919933</v>
      </c>
      <c r="K10" s="25">
        <f t="shared" si="1"/>
        <v>8.5046222605336652</v>
      </c>
      <c r="L10" s="71">
        <f t="shared" si="5"/>
        <v>1.0643165115567084</v>
      </c>
      <c r="M10" s="71">
        <f t="shared" si="3"/>
        <v>5.4709657078323759E-2</v>
      </c>
      <c r="N10" s="71">
        <f t="shared" si="4"/>
        <v>1.3847416684284097</v>
      </c>
      <c r="O10" s="132">
        <f t="shared" si="2"/>
        <v>37.852765266189138</v>
      </c>
      <c r="P10" s="143"/>
      <c r="Q10" s="8"/>
      <c r="S10" s="8"/>
      <c r="T10" s="10"/>
    </row>
    <row r="11" spans="1:20" x14ac:dyDescent="0.25">
      <c r="A11" s="93" t="s">
        <v>67</v>
      </c>
      <c r="B11" s="22">
        <v>923</v>
      </c>
      <c r="C11" s="22" t="s">
        <v>83</v>
      </c>
      <c r="D11" s="21" t="s">
        <v>53</v>
      </c>
      <c r="E11" s="22" t="s">
        <v>66</v>
      </c>
      <c r="F11" s="24">
        <v>1789304.5701439527</v>
      </c>
      <c r="G11" s="24">
        <v>58944.539265895954</v>
      </c>
      <c r="H11" s="28">
        <v>196670</v>
      </c>
      <c r="I11" s="30">
        <v>5631.9999999999964</v>
      </c>
      <c r="J11" s="24">
        <f t="shared" si="0"/>
        <v>1730360.0308780568</v>
      </c>
      <c r="K11" s="25">
        <f t="shared" si="1"/>
        <v>8.7982917113848416</v>
      </c>
      <c r="L11" s="71">
        <f t="shared" si="5"/>
        <v>1.1010679669307044</v>
      </c>
      <c r="M11" s="71">
        <f t="shared" si="3"/>
        <v>3.2942708720155874E-2</v>
      </c>
      <c r="N11" s="71">
        <f t="shared" si="4"/>
        <v>0.8338041923822167</v>
      </c>
      <c r="O11" s="132">
        <f t="shared" si="2"/>
        <v>34.920099431818201</v>
      </c>
      <c r="P11" s="144"/>
      <c r="Q11" s="8"/>
      <c r="S11" s="8"/>
      <c r="T11" s="10"/>
    </row>
    <row r="12" spans="1:20" ht="15.75" thickBot="1" x14ac:dyDescent="0.3">
      <c r="A12" s="145" t="s">
        <v>67</v>
      </c>
      <c r="B12" s="146">
        <v>924</v>
      </c>
      <c r="C12" s="146" t="s">
        <v>84</v>
      </c>
      <c r="D12" s="147" t="s">
        <v>53</v>
      </c>
      <c r="E12" s="146" t="s">
        <v>66</v>
      </c>
      <c r="F12" s="148">
        <v>3365322.4334121305</v>
      </c>
      <c r="G12" s="148">
        <v>103902.35908158417</v>
      </c>
      <c r="H12" s="149">
        <v>489030.62116634334</v>
      </c>
      <c r="I12" s="150">
        <v>12190.159999999991</v>
      </c>
      <c r="J12" s="148">
        <f t="shared" si="0"/>
        <v>3261420.0743305464</v>
      </c>
      <c r="K12" s="151">
        <f t="shared" si="1"/>
        <v>6.6691530819727083</v>
      </c>
      <c r="L12" s="79">
        <f t="shared" si="5"/>
        <v>0.83461552151258711</v>
      </c>
      <c r="M12" s="276">
        <f t="shared" si="3"/>
        <v>3.0874414305745036E-2</v>
      </c>
      <c r="N12" s="79">
        <f t="shared" si="4"/>
        <v>0.78145413918937412</v>
      </c>
      <c r="O12" s="277">
        <f t="shared" si="2"/>
        <v>40.116833672925026</v>
      </c>
      <c r="P12" s="152"/>
      <c r="Q12" s="8"/>
      <c r="S12" s="8"/>
      <c r="T12" s="10"/>
    </row>
    <row r="13" spans="1:20" x14ac:dyDescent="0.25">
      <c r="A13" s="21"/>
      <c r="B13" s="21"/>
      <c r="C13" s="22"/>
      <c r="D13" s="21"/>
      <c r="E13" s="21"/>
      <c r="F13" s="24"/>
      <c r="G13" s="24"/>
      <c r="H13" s="24"/>
      <c r="I13" s="24"/>
      <c r="J13" s="24"/>
      <c r="K13" s="25"/>
      <c r="L13" s="71"/>
      <c r="M13" s="71"/>
      <c r="N13" s="136"/>
      <c r="O13" s="274"/>
      <c r="P13" s="275"/>
      <c r="Q13" s="8"/>
      <c r="R13" s="9"/>
      <c r="S13" s="8"/>
      <c r="T13" s="10"/>
    </row>
    <row r="14" spans="1:20" x14ac:dyDescent="0.25">
      <c r="A14" s="21"/>
      <c r="B14" s="21"/>
      <c r="C14" s="22"/>
      <c r="D14" s="21"/>
      <c r="E14" s="21"/>
      <c r="F14" s="24"/>
      <c r="G14" s="24"/>
      <c r="H14" s="24"/>
      <c r="I14" s="24"/>
      <c r="J14" s="24"/>
      <c r="K14" s="25"/>
      <c r="L14" s="71"/>
      <c r="M14" s="71"/>
      <c r="N14" s="136"/>
      <c r="O14" s="274"/>
      <c r="P14" s="275"/>
      <c r="Q14" s="8"/>
      <c r="R14" s="9"/>
      <c r="S14" s="8"/>
      <c r="T14" s="10"/>
    </row>
    <row r="15" spans="1:20" x14ac:dyDescent="0.25">
      <c r="A15" s="21"/>
      <c r="B15" s="21"/>
      <c r="C15" s="22"/>
      <c r="D15" s="21"/>
      <c r="E15" s="21"/>
      <c r="F15" s="24"/>
      <c r="G15" s="24"/>
      <c r="H15" s="24"/>
      <c r="I15" s="24"/>
      <c r="J15" s="24"/>
      <c r="K15" s="25"/>
      <c r="L15" s="71"/>
      <c r="M15" s="71"/>
      <c r="N15" s="136"/>
      <c r="O15" s="274"/>
      <c r="P15" s="275"/>
      <c r="Q15" s="8"/>
      <c r="R15" s="9"/>
      <c r="S15" s="8"/>
      <c r="T15" s="10"/>
    </row>
    <row r="16" spans="1:20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71"/>
      <c r="N16" s="71"/>
      <c r="O16" s="21"/>
      <c r="P16" s="21"/>
      <c r="Q16" s="8"/>
      <c r="R16" s="9"/>
      <c r="S16" s="8"/>
      <c r="T16" s="10"/>
    </row>
    <row r="17" spans="1:20" ht="15.75" thickBot="1" x14ac:dyDescent="0.3">
      <c r="A17" s="21"/>
      <c r="B17" s="21"/>
      <c r="C17" s="21"/>
      <c r="D17" s="21"/>
      <c r="E17" s="268" t="s">
        <v>113</v>
      </c>
      <c r="F17" s="268"/>
      <c r="G17" s="268"/>
      <c r="H17" s="268"/>
      <c r="I17" s="268"/>
      <c r="J17" s="268"/>
      <c r="K17" s="268"/>
      <c r="L17" s="21"/>
      <c r="M17" s="71"/>
      <c r="N17" s="71"/>
      <c r="O17" s="21"/>
      <c r="P17" s="21"/>
      <c r="Q17" s="8"/>
      <c r="R17" s="9"/>
      <c r="S17" s="8"/>
      <c r="T17" s="10"/>
    </row>
    <row r="18" spans="1:20" ht="36" x14ac:dyDescent="0.25">
      <c r="A18" s="21"/>
      <c r="B18" s="21"/>
      <c r="C18" s="21"/>
      <c r="D18" s="21"/>
      <c r="E18" s="82" t="s">
        <v>63</v>
      </c>
      <c r="F18" s="126" t="s">
        <v>44</v>
      </c>
      <c r="G18" s="127" t="s">
        <v>45</v>
      </c>
      <c r="H18" s="127" t="s">
        <v>46</v>
      </c>
      <c r="I18" s="127" t="s">
        <v>47</v>
      </c>
      <c r="J18" s="128" t="s">
        <v>48</v>
      </c>
      <c r="K18" s="85" t="s">
        <v>62</v>
      </c>
      <c r="L18" s="21"/>
      <c r="M18" s="71"/>
      <c r="N18" s="71"/>
      <c r="O18" s="21"/>
      <c r="P18" s="21"/>
      <c r="Q18" s="8"/>
      <c r="R18" s="9"/>
      <c r="S18" s="8"/>
    </row>
    <row r="19" spans="1:20" x14ac:dyDescent="0.25">
      <c r="A19" s="21"/>
      <c r="B19" s="21"/>
      <c r="C19" s="21"/>
      <c r="D19" s="21"/>
      <c r="E19" s="86">
        <f>COUNTIF($E$4:$E$12, "Weekdays")</f>
        <v>3</v>
      </c>
      <c r="F19" s="153" t="s">
        <v>6</v>
      </c>
      <c r="G19" s="154">
        <f>AVERAGEIF($E$4:$E$12,"Weekdays",K4:K12)</f>
        <v>6.2014657757589395</v>
      </c>
      <c r="H19" s="155">
        <f>G19*1.2</f>
        <v>7.4417589309107273</v>
      </c>
      <c r="I19" s="156">
        <f>G19*1.35</f>
        <v>8.3719787972745685</v>
      </c>
      <c r="J19" s="157">
        <f>G19*1.6</f>
        <v>9.9223452412143036</v>
      </c>
      <c r="K19" s="92">
        <f>+SUMIF($E$4:$E$12,"Weekdays",$J$4:$J$12)/SUMIF($E$4:$E$12,"Weekdays",$H$4:$H$12)</f>
        <v>5.8466838835129487</v>
      </c>
      <c r="L19" s="21"/>
      <c r="M19" s="71"/>
      <c r="N19" s="71"/>
      <c r="O19" s="21"/>
      <c r="P19" s="21"/>
      <c r="Q19" s="8"/>
      <c r="R19" s="9"/>
      <c r="S19" s="8"/>
    </row>
    <row r="20" spans="1:20" x14ac:dyDescent="0.25">
      <c r="A20" s="21"/>
      <c r="B20" s="21"/>
      <c r="C20" s="21"/>
      <c r="D20" s="21"/>
      <c r="E20" s="86">
        <f>COUNTIF($E$4:$E$12, "Saturdays")</f>
        <v>3</v>
      </c>
      <c r="F20" s="153" t="s">
        <v>11</v>
      </c>
      <c r="G20" s="154">
        <f>AVERAGEIF($E$4:$E$12,"Saturdays",K4:K12)</f>
        <v>6.9579288461136217</v>
      </c>
      <c r="H20" s="155">
        <f>G20*1.2</f>
        <v>8.3495146153363464</v>
      </c>
      <c r="I20" s="156">
        <f>G20*1.35</f>
        <v>9.3932039422533897</v>
      </c>
      <c r="J20" s="157">
        <f>G20*1.6</f>
        <v>11.132686153781796</v>
      </c>
      <c r="K20" s="92">
        <f>+SUMIF($E$4:$E$12,"saturdays",$J$4:$J$12)/SUMIF($E$4:$E$12,"saturdays",$H$4:$H$12)</f>
        <v>6.684037103392825</v>
      </c>
      <c r="L20" s="21"/>
      <c r="M20" s="71"/>
      <c r="N20" s="71"/>
      <c r="O20" s="21"/>
      <c r="P20" s="21"/>
    </row>
    <row r="21" spans="1:20" ht="15.75" thickBot="1" x14ac:dyDescent="0.3">
      <c r="A21" s="21"/>
      <c r="B21" s="21"/>
      <c r="C21" s="21"/>
      <c r="D21" s="21"/>
      <c r="E21" s="98">
        <f>COUNTIF($E$4:$E$12, "Sundays")</f>
        <v>3</v>
      </c>
      <c r="F21" s="153" t="s">
        <v>12</v>
      </c>
      <c r="G21" s="158">
        <f>AVERAGEIF($E$4:$E$12,"Sundays",K4:K12)</f>
        <v>7.9906890179637386</v>
      </c>
      <c r="H21" s="155">
        <f>G21*1.2</f>
        <v>9.588826821556486</v>
      </c>
      <c r="I21" s="156">
        <f>G21*1.35</f>
        <v>10.787430174251048</v>
      </c>
      <c r="J21" s="157">
        <f>G21*1.6</f>
        <v>12.785102428741983</v>
      </c>
      <c r="K21" s="108">
        <f>+SUMIF($E$4:$E$12,"Sundays",$J$4:$J$12)/SUMIF($E$4:$E$12,"Sundays",$H$4:$H$12)</f>
        <v>7.5042029114539686</v>
      </c>
      <c r="L21" s="21"/>
      <c r="M21" s="71"/>
      <c r="N21" s="71"/>
      <c r="O21" s="21"/>
      <c r="P21" s="21"/>
    </row>
    <row r="22" spans="1:20" ht="15.75" thickBot="1" x14ac:dyDescent="0.3">
      <c r="A22" s="21"/>
      <c r="B22" s="21"/>
      <c r="C22" s="21"/>
      <c r="D22" s="21"/>
      <c r="E22" s="21"/>
      <c r="F22" s="159" t="s">
        <v>61</v>
      </c>
      <c r="G22" s="105">
        <v>25</v>
      </c>
      <c r="H22" s="106"/>
      <c r="I22" s="106"/>
      <c r="J22" s="107"/>
      <c r="K22" s="108">
        <f>+SUM($J$4:$J$12)/SUM($H$4:$H$12)</f>
        <v>6.1527801335291956</v>
      </c>
      <c r="L22" s="21"/>
      <c r="M22" s="71"/>
      <c r="N22" s="71"/>
      <c r="O22" s="21"/>
      <c r="P22" s="21"/>
    </row>
    <row r="23" spans="1:20" ht="15.75" thickBot="1" x14ac:dyDescent="0.3">
      <c r="E23" s="270" t="s">
        <v>112</v>
      </c>
      <c r="F23" s="270"/>
      <c r="G23" s="270"/>
      <c r="H23" s="270"/>
      <c r="I23" s="270"/>
      <c r="J23" s="270"/>
      <c r="K23" s="270"/>
      <c r="M23" s="71"/>
      <c r="N23" s="71"/>
    </row>
    <row r="24" spans="1:20" ht="36" x14ac:dyDescent="0.25">
      <c r="E24" s="248"/>
      <c r="F24" s="82" t="s">
        <v>44</v>
      </c>
      <c r="G24" s="83" t="s">
        <v>45</v>
      </c>
      <c r="H24" s="83" t="s">
        <v>46</v>
      </c>
      <c r="I24" s="83" t="s">
        <v>47</v>
      </c>
      <c r="J24" s="84" t="s">
        <v>48</v>
      </c>
      <c r="K24" s="85" t="s">
        <v>62</v>
      </c>
      <c r="M24" s="71"/>
      <c r="N24" s="71"/>
    </row>
    <row r="25" spans="1:20" x14ac:dyDescent="0.25">
      <c r="E25" s="249"/>
      <c r="F25" s="87" t="s">
        <v>33</v>
      </c>
      <c r="G25" s="229">
        <f>AVERAGEIF($E$4:$E$97,"Weekdays",$M$4:$M$97)</f>
        <v>6.538074326843496E-2</v>
      </c>
      <c r="H25" s="230">
        <f>G25*0.8</f>
        <v>5.2304594614747971E-2</v>
      </c>
      <c r="I25" s="231">
        <f>G25*0.65</f>
        <v>4.2497483124482725E-2</v>
      </c>
      <c r="J25" s="232">
        <f>G25*0.4</f>
        <v>2.6152297307373985E-2</v>
      </c>
      <c r="K25" s="237">
        <f>+SUMIF($E$4:$E$97,"Weekdays",$G$4:$G$97)/SUMIF($E$4:$E$97,"Weekdays",$F$4:$F$97)</f>
        <v>6.04645026509468E-2</v>
      </c>
      <c r="M25" s="71"/>
      <c r="N25" s="71"/>
    </row>
    <row r="26" spans="1:20" x14ac:dyDescent="0.25">
      <c r="E26" s="249"/>
      <c r="F26" s="93" t="s">
        <v>65</v>
      </c>
      <c r="G26" s="233">
        <f>AVERAGEIF($E$4:$E$97,"Saturdays",$M$4:$M$97)</f>
        <v>4.9991461332951799E-2</v>
      </c>
      <c r="H26" s="234">
        <f>G26*0.8</f>
        <v>3.9993169066361439E-2</v>
      </c>
      <c r="I26" s="235">
        <f>G26*0.65</f>
        <v>3.2494449866418668E-2</v>
      </c>
      <c r="J26" s="236">
        <f>G26*0.4</f>
        <v>1.999658453318072E-2</v>
      </c>
      <c r="K26" s="237">
        <f>+SUMIF($E$4:$E$97,"Saturdays",$G$4:$G$97)/SUMIF($E$4:$E$97,"Saturdays",$F$4:$F$97)</f>
        <v>4.4444758765780044E-2</v>
      </c>
      <c r="M26" s="71"/>
      <c r="N26" s="71"/>
    </row>
    <row r="27" spans="1:20" x14ac:dyDescent="0.25">
      <c r="E27" s="249"/>
      <c r="F27" s="99" t="s">
        <v>66</v>
      </c>
      <c r="G27" s="244">
        <f>AVERAGEIF($E$4:$E$97,"Sundays",$M$4:$M$97)</f>
        <v>3.9508926701408216E-2</v>
      </c>
      <c r="H27" s="245">
        <f>G27*0.8</f>
        <v>3.1607141361126571E-2</v>
      </c>
      <c r="I27" s="246">
        <f>G27*0.65</f>
        <v>2.5680802355915341E-2</v>
      </c>
      <c r="J27" s="247">
        <f>G27*0.4</f>
        <v>1.5803570680563286E-2</v>
      </c>
      <c r="K27" s="237">
        <f>+SUMIF($E$4:$E$97,"Sundays",$G$4:$G$97)/SUMIF($E$4:$E$97,"Sundays",$F$4:$F$97)</f>
        <v>3.6484498706983171E-2</v>
      </c>
      <c r="M27" s="71"/>
      <c r="N27" s="71"/>
    </row>
    <row r="28" spans="1:20" ht="15.75" thickBot="1" x14ac:dyDescent="0.3">
      <c r="E28" s="56"/>
      <c r="F28" s="145" t="s">
        <v>115</v>
      </c>
      <c r="G28" s="239" t="e">
        <f>AVERAGE(M13:M15)</f>
        <v>#DIV/0!</v>
      </c>
      <c r="H28" s="240" t="e">
        <f>G28*0.8</f>
        <v>#DIV/0!</v>
      </c>
      <c r="I28" s="241" t="e">
        <f>G28*0.65</f>
        <v>#DIV/0!</v>
      </c>
      <c r="J28" s="242" t="e">
        <f>G28*0.4</f>
        <v>#DIV/0!</v>
      </c>
      <c r="K28" s="238" t="e">
        <f>+SUM($G$4:$G$97)/SUM($F$4:$F$97)</f>
        <v>#DIV/0!</v>
      </c>
      <c r="M28" s="71"/>
      <c r="N28" s="71"/>
    </row>
    <row r="29" spans="1:20" x14ac:dyDescent="0.25">
      <c r="M29" s="71"/>
      <c r="N29" s="71"/>
    </row>
    <row r="30" spans="1:20" x14ac:dyDescent="0.25">
      <c r="M30" s="71"/>
      <c r="N30" s="71"/>
    </row>
    <row r="31" spans="1:20" x14ac:dyDescent="0.25">
      <c r="M31" s="71"/>
      <c r="N31" s="71"/>
    </row>
    <row r="32" spans="1:20" x14ac:dyDescent="0.25">
      <c r="M32" s="71"/>
      <c r="N32" s="71"/>
    </row>
    <row r="33" spans="13:14" x14ac:dyDescent="0.25">
      <c r="M33" s="71"/>
      <c r="N33" s="71"/>
    </row>
    <row r="34" spans="13:14" x14ac:dyDescent="0.25">
      <c r="M34" s="71"/>
      <c r="N34" s="71"/>
    </row>
    <row r="35" spans="13:14" x14ac:dyDescent="0.25">
      <c r="M35" s="71"/>
      <c r="N35" s="71"/>
    </row>
    <row r="36" spans="13:14" x14ac:dyDescent="0.25">
      <c r="M36" s="71"/>
      <c r="N36" s="71"/>
    </row>
    <row r="37" spans="13:14" x14ac:dyDescent="0.25">
      <c r="M37" s="71"/>
      <c r="N37" s="71"/>
    </row>
    <row r="38" spans="13:14" x14ac:dyDescent="0.25">
      <c r="M38" s="71"/>
      <c r="N38" s="71"/>
    </row>
    <row r="39" spans="13:14" x14ac:dyDescent="0.25">
      <c r="M39" s="71"/>
      <c r="N39" s="71"/>
    </row>
    <row r="40" spans="13:14" x14ac:dyDescent="0.25">
      <c r="M40" s="71"/>
      <c r="N40" s="71"/>
    </row>
    <row r="41" spans="13:14" x14ac:dyDescent="0.25">
      <c r="M41" s="71"/>
      <c r="N41" s="71"/>
    </row>
    <row r="42" spans="13:14" x14ac:dyDescent="0.25">
      <c r="M42" s="71"/>
      <c r="N42" s="71"/>
    </row>
    <row r="43" spans="13:14" x14ac:dyDescent="0.25">
      <c r="M43" s="71"/>
      <c r="N43" s="71"/>
    </row>
    <row r="44" spans="13:14" x14ac:dyDescent="0.25">
      <c r="M44" s="71"/>
      <c r="N44" s="71"/>
    </row>
    <row r="45" spans="13:14" x14ac:dyDescent="0.25">
      <c r="M45" s="71"/>
      <c r="N45" s="71"/>
    </row>
    <row r="46" spans="13:14" x14ac:dyDescent="0.25">
      <c r="M46" s="71"/>
      <c r="N46" s="71"/>
    </row>
    <row r="47" spans="13:14" x14ac:dyDescent="0.25">
      <c r="M47" s="71"/>
      <c r="N47" s="71"/>
    </row>
    <row r="48" spans="13:14" x14ac:dyDescent="0.25">
      <c r="M48" s="71"/>
      <c r="N48" s="71"/>
    </row>
    <row r="49" spans="13:14" x14ac:dyDescent="0.25">
      <c r="M49" s="71"/>
      <c r="N49" s="71"/>
    </row>
    <row r="50" spans="13:14" x14ac:dyDescent="0.25">
      <c r="M50" s="71"/>
      <c r="N50" s="71"/>
    </row>
    <row r="51" spans="13:14" x14ac:dyDescent="0.25">
      <c r="M51" s="71"/>
      <c r="N51" s="71"/>
    </row>
    <row r="52" spans="13:14" x14ac:dyDescent="0.25">
      <c r="M52" s="71"/>
      <c r="N52" s="71"/>
    </row>
    <row r="53" spans="13:14" x14ac:dyDescent="0.25">
      <c r="M53" s="71"/>
      <c r="N53" s="71"/>
    </row>
    <row r="54" spans="13:14" x14ac:dyDescent="0.25">
      <c r="M54" s="71"/>
      <c r="N54" s="71"/>
    </row>
    <row r="55" spans="13:14" x14ac:dyDescent="0.25">
      <c r="M55" s="71"/>
      <c r="N55" s="71"/>
    </row>
    <row r="56" spans="13:14" x14ac:dyDescent="0.25">
      <c r="M56" s="71"/>
      <c r="N56" s="71"/>
    </row>
    <row r="57" spans="13:14" x14ac:dyDescent="0.25">
      <c r="M57" s="71"/>
      <c r="N57" s="71"/>
    </row>
    <row r="58" spans="13:14" x14ac:dyDescent="0.25">
      <c r="M58" s="71"/>
      <c r="N58" s="71"/>
    </row>
    <row r="59" spans="13:14" x14ac:dyDescent="0.25">
      <c r="M59" s="71"/>
      <c r="N59" s="71"/>
    </row>
    <row r="60" spans="13:14" x14ac:dyDescent="0.25">
      <c r="M60" s="71"/>
      <c r="N60" s="71"/>
    </row>
    <row r="61" spans="13:14" x14ac:dyDescent="0.25">
      <c r="M61" s="71"/>
      <c r="N61" s="71"/>
    </row>
    <row r="62" spans="13:14" x14ac:dyDescent="0.25">
      <c r="M62" s="71"/>
      <c r="N62" s="71"/>
    </row>
    <row r="63" spans="13:14" x14ac:dyDescent="0.25">
      <c r="M63" s="71"/>
      <c r="N63" s="71"/>
    </row>
    <row r="64" spans="13:14" x14ac:dyDescent="0.25">
      <c r="M64" s="71"/>
      <c r="N64" s="71"/>
    </row>
    <row r="65" spans="13:14" x14ac:dyDescent="0.25">
      <c r="M65" s="71"/>
      <c r="N65" s="71"/>
    </row>
    <row r="66" spans="13:14" x14ac:dyDescent="0.25">
      <c r="M66" s="71"/>
      <c r="N66" s="71"/>
    </row>
    <row r="67" spans="13:14" x14ac:dyDescent="0.25">
      <c r="M67" s="71"/>
      <c r="N67" s="71"/>
    </row>
    <row r="68" spans="13:14" x14ac:dyDescent="0.25">
      <c r="M68" s="71"/>
      <c r="N68" s="71"/>
    </row>
    <row r="69" spans="13:14" x14ac:dyDescent="0.25">
      <c r="M69" s="71"/>
      <c r="N69" s="71"/>
    </row>
    <row r="70" spans="13:14" x14ac:dyDescent="0.25">
      <c r="M70" s="71"/>
      <c r="N70" s="71"/>
    </row>
    <row r="71" spans="13:14" x14ac:dyDescent="0.25">
      <c r="M71" s="71"/>
      <c r="N71" s="71"/>
    </row>
    <row r="72" spans="13:14" x14ac:dyDescent="0.25">
      <c r="M72" s="71"/>
      <c r="N72" s="71"/>
    </row>
    <row r="73" spans="13:14" x14ac:dyDescent="0.25">
      <c r="M73" s="71"/>
      <c r="N73" s="71"/>
    </row>
    <row r="74" spans="13:14" x14ac:dyDescent="0.25">
      <c r="M74" s="71"/>
      <c r="N74" s="71"/>
    </row>
    <row r="75" spans="13:14" x14ac:dyDescent="0.25">
      <c r="M75" s="71"/>
      <c r="N75" s="71"/>
    </row>
    <row r="76" spans="13:14" x14ac:dyDescent="0.25">
      <c r="M76" s="71"/>
      <c r="N76" s="71"/>
    </row>
    <row r="77" spans="13:14" x14ac:dyDescent="0.25">
      <c r="M77" s="71"/>
      <c r="N77" s="71"/>
    </row>
    <row r="78" spans="13:14" x14ac:dyDescent="0.25">
      <c r="M78" s="71"/>
      <c r="N78" s="71"/>
    </row>
    <row r="79" spans="13:14" x14ac:dyDescent="0.25">
      <c r="M79" s="71"/>
      <c r="N79" s="71"/>
    </row>
    <row r="80" spans="13:14" x14ac:dyDescent="0.25">
      <c r="M80" s="71"/>
      <c r="N80" s="71"/>
    </row>
    <row r="81" spans="13:14" x14ac:dyDescent="0.25">
      <c r="M81" s="71"/>
      <c r="N81" s="71"/>
    </row>
    <row r="82" spans="13:14" x14ac:dyDescent="0.25">
      <c r="M82" s="71"/>
      <c r="N82" s="71"/>
    </row>
    <row r="83" spans="13:14" x14ac:dyDescent="0.25">
      <c r="M83" s="71"/>
      <c r="N83" s="71"/>
    </row>
    <row r="84" spans="13:14" x14ac:dyDescent="0.25">
      <c r="M84" s="71"/>
      <c r="N84" s="71"/>
    </row>
    <row r="85" spans="13:14" x14ac:dyDescent="0.25">
      <c r="M85" s="71"/>
      <c r="N85" s="71"/>
    </row>
    <row r="86" spans="13:14" x14ac:dyDescent="0.25">
      <c r="M86" s="71"/>
      <c r="N86" s="71"/>
    </row>
    <row r="87" spans="13:14" x14ac:dyDescent="0.25">
      <c r="M87" s="71"/>
      <c r="N87" s="71"/>
    </row>
    <row r="88" spans="13:14" x14ac:dyDescent="0.25">
      <c r="M88" s="71"/>
      <c r="N88" s="71"/>
    </row>
    <row r="89" spans="13:14" x14ac:dyDescent="0.25">
      <c r="M89" s="71"/>
      <c r="N89" s="71"/>
    </row>
    <row r="90" spans="13:14" x14ac:dyDescent="0.25">
      <c r="M90" s="71"/>
      <c r="N90" s="71"/>
    </row>
    <row r="91" spans="13:14" x14ac:dyDescent="0.25">
      <c r="M91" s="71"/>
      <c r="N91" s="71"/>
    </row>
    <row r="92" spans="13:14" x14ac:dyDescent="0.25">
      <c r="M92" s="71"/>
      <c r="N92" s="71"/>
    </row>
    <row r="93" spans="13:14" x14ac:dyDescent="0.25">
      <c r="M93" s="71"/>
      <c r="N93" s="71"/>
    </row>
    <row r="94" spans="13:14" x14ac:dyDescent="0.25">
      <c r="M94" s="71"/>
      <c r="N94" s="71"/>
    </row>
    <row r="95" spans="13:14" x14ac:dyDescent="0.25">
      <c r="M95" s="71"/>
      <c r="N95" s="71"/>
    </row>
    <row r="96" spans="13:14" x14ac:dyDescent="0.25">
      <c r="M96" s="71"/>
      <c r="N96" s="71"/>
    </row>
    <row r="97" spans="13:14" x14ac:dyDescent="0.25">
      <c r="M97" s="71"/>
      <c r="N97" s="71"/>
    </row>
  </sheetData>
  <sortState xmlns:xlrd2="http://schemas.microsoft.com/office/spreadsheetml/2017/richdata2" ref="A4:P12">
    <sortCondition ref="E4:E12" customList="Weekday,Wk,Saturday,Sat,Sunday,Sun,Sunday/Holiday,Sunday / Holiday,Reduced"/>
    <sortCondition ref="B4:B12"/>
  </sortState>
  <mergeCells count="3">
    <mergeCell ref="A2:O2"/>
    <mergeCell ref="E17:K17"/>
    <mergeCell ref="E23:K23"/>
  </mergeCells>
  <conditionalFormatting sqref="G4">
    <cfRule type="expression" dxfId="32" priority="14">
      <formula>(ROW(G4)-1)/3=ROUND((ROW(G4)-1)/3,0)</formula>
    </cfRule>
  </conditionalFormatting>
  <conditionalFormatting sqref="H4:I9">
    <cfRule type="expression" dxfId="31" priority="7">
      <formula>(ROW(H4)-1)/3=ROUND((ROW(H4)-1)/3,0)</formula>
    </cfRule>
  </conditionalFormatting>
  <conditionalFormatting sqref="L1">
    <cfRule type="cellIs" dxfId="30" priority="17" operator="greaterThan">
      <formula>1.6</formula>
    </cfRule>
  </conditionalFormatting>
  <conditionalFormatting sqref="N4:N15">
    <cfRule type="cellIs" dxfId="29" priority="2" operator="between">
      <formula>0.65</formula>
      <formula>0.4</formula>
    </cfRule>
    <cfRule type="cellIs" dxfId="28" priority="3" operator="between">
      <formula>0.8</formula>
      <formula>0.65</formula>
    </cfRule>
  </conditionalFormatting>
  <conditionalFormatting sqref="O4:O12">
    <cfRule type="cellIs" dxfId="27" priority="24" operator="lessThan">
      <formula>$G$22</formula>
    </cfRule>
  </conditionalFormatting>
  <conditionalFormatting sqref="N4:N12">
    <cfRule type="cellIs" dxfId="26" priority="1" operator="lessThan">
      <formula>0.4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A104-476E-4AB4-9F61-7DEA9C03266E}">
  <dimension ref="A1:R99"/>
  <sheetViews>
    <sheetView workbookViewId="0">
      <selection activeCell="M13" sqref="M13"/>
    </sheetView>
  </sheetViews>
  <sheetFormatPr defaultRowHeight="15" x14ac:dyDescent="0.25"/>
  <cols>
    <col min="1" max="1" width="24.85546875" customWidth="1"/>
    <col min="2" max="2" width="9.42578125" customWidth="1"/>
    <col min="3" max="3" width="11.85546875" customWidth="1"/>
    <col min="4" max="4" width="20.7109375" customWidth="1"/>
    <col min="5" max="5" width="10.7109375" customWidth="1"/>
    <col min="6" max="6" width="12.7109375" bestFit="1" customWidth="1"/>
    <col min="7" max="7" width="11.7109375" customWidth="1"/>
    <col min="8" max="8" width="15.140625" bestFit="1" customWidth="1"/>
    <col min="9" max="9" width="15.7109375" customWidth="1"/>
    <col min="10" max="11" width="11.7109375" customWidth="1"/>
    <col min="12" max="14" width="14.140625" customWidth="1"/>
    <col min="15" max="15" width="12.5703125" customWidth="1"/>
    <col min="16" max="16" width="50.5703125" customWidth="1"/>
    <col min="17" max="17" width="14.7109375" bestFit="1" customWidth="1"/>
    <col min="18" max="18" width="13.7109375" bestFit="1" customWidth="1"/>
  </cols>
  <sheetData>
    <row r="1" spans="1:18" ht="22.5" x14ac:dyDescent="0.45">
      <c r="A1" s="13" t="s">
        <v>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O1" s="14"/>
      <c r="P1" s="14"/>
    </row>
    <row r="2" spans="1:18" ht="37.5" thickBot="1" x14ac:dyDescent="0.75">
      <c r="A2" s="266" t="s">
        <v>81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47"/>
    </row>
    <row r="3" spans="1:18" s="6" customFormat="1" ht="75.75" thickBot="1" x14ac:dyDescent="0.3">
      <c r="A3" s="57" t="s">
        <v>8</v>
      </c>
      <c r="B3" s="58" t="s">
        <v>77</v>
      </c>
      <c r="C3" s="49" t="s">
        <v>78</v>
      </c>
      <c r="D3" s="49" t="s">
        <v>0</v>
      </c>
      <c r="E3" s="51" t="s">
        <v>1</v>
      </c>
      <c r="F3" s="51" t="s">
        <v>2</v>
      </c>
      <c r="G3" s="51" t="s">
        <v>38</v>
      </c>
      <c r="H3" s="52" t="s">
        <v>40</v>
      </c>
      <c r="I3" s="52" t="s">
        <v>64</v>
      </c>
      <c r="J3" s="53" t="s">
        <v>39</v>
      </c>
      <c r="K3" s="54" t="s">
        <v>14</v>
      </c>
      <c r="L3" s="54" t="s">
        <v>75</v>
      </c>
      <c r="M3" s="227" t="s">
        <v>112</v>
      </c>
      <c r="N3" s="227" t="s">
        <v>114</v>
      </c>
      <c r="O3" s="59" t="s">
        <v>42</v>
      </c>
      <c r="P3" s="57" t="s">
        <v>43</v>
      </c>
    </row>
    <row r="4" spans="1:18" ht="15.75" thickTop="1" x14ac:dyDescent="0.25">
      <c r="A4" s="160" t="s">
        <v>67</v>
      </c>
      <c r="B4" s="161">
        <v>904</v>
      </c>
      <c r="C4" s="162" t="s">
        <v>79</v>
      </c>
      <c r="D4" s="162" t="s">
        <v>23</v>
      </c>
      <c r="E4" s="161" t="s">
        <v>33</v>
      </c>
      <c r="F4" s="163">
        <v>5385436.3191186721</v>
      </c>
      <c r="G4" s="163">
        <v>359929.06696208217</v>
      </c>
      <c r="H4" s="164">
        <v>379118.73073839897</v>
      </c>
      <c r="I4" s="165">
        <v>18238.569999999996</v>
      </c>
      <c r="J4" s="163">
        <f t="shared" ref="J4:J10" si="0">F4-G4</f>
        <v>5025507.2521565901</v>
      </c>
      <c r="K4" s="166">
        <f t="shared" ref="K4:K10" si="1">J4/H4</f>
        <v>13.255760912599992</v>
      </c>
      <c r="L4" s="167">
        <f>+IF(E4="Weekdays",K4/$G$15,IF(E4="Saturdays",K4/$G$16,IF(E4="Sundays",K4/$G$17, "NA")))</f>
        <v>0.84819255054853393</v>
      </c>
      <c r="M4" s="66">
        <f>(G4/F4)</f>
        <v>6.6833780149680541E-2</v>
      </c>
      <c r="N4" s="66">
        <f>+IF(E4="Weekdays",M4/$G$21,IF(E4="Saturdays",M4/$G$22,IF(E4="Sundays",M4/$G$23,"NA")))</f>
        <v>1.2901389964461669</v>
      </c>
      <c r="O4" s="168">
        <f t="shared" ref="O4:O10" si="2">H4/I4</f>
        <v>20.786647787540307</v>
      </c>
      <c r="P4" s="169"/>
    </row>
    <row r="5" spans="1:18" ht="18" customHeight="1" x14ac:dyDescent="0.25">
      <c r="A5" s="93" t="s">
        <v>67</v>
      </c>
      <c r="B5" s="21">
        <v>904</v>
      </c>
      <c r="C5" s="21" t="s">
        <v>79</v>
      </c>
      <c r="D5" s="21" t="s">
        <v>23</v>
      </c>
      <c r="E5" s="21" t="s">
        <v>65</v>
      </c>
      <c r="F5" s="24">
        <v>721388.28950426867</v>
      </c>
      <c r="G5" s="24">
        <v>15895.725422910433</v>
      </c>
      <c r="H5" s="29">
        <v>41909.142571624063</v>
      </c>
      <c r="I5" s="30">
        <v>2463.2800000000007</v>
      </c>
      <c r="J5" s="24">
        <f t="shared" si="0"/>
        <v>705492.56408135826</v>
      </c>
      <c r="K5" s="129">
        <f t="shared" si="1"/>
        <v>16.833858217825597</v>
      </c>
      <c r="L5" s="71">
        <f t="shared" ref="L5:L9" si="3">+IF(E5="Weekdays",K5/$G$15,IF(E5="Saturdays",K5/$G$16,IF(E5="Sundays",K5/$G$17, "NA")))</f>
        <v>1.0365854177946547</v>
      </c>
      <c r="M5" s="71">
        <f t="shared" ref="M5:M10" si="4">G5/F5</f>
        <v>2.2034909152509014E-2</v>
      </c>
      <c r="N5" s="71">
        <f t="shared" ref="N5:N9" si="5">+IF(E5="Weekdays",M5/$G$21,IF(E5="Saturdays",M5/$G$22,IF(E5="Sundays",M5/$G$23,"NA")))</f>
        <v>0.6874004219286115</v>
      </c>
      <c r="O5" s="170">
        <f t="shared" si="2"/>
        <v>17.013552081624521</v>
      </c>
      <c r="P5" s="143"/>
    </row>
    <row r="6" spans="1:18" x14ac:dyDescent="0.25">
      <c r="A6" s="93" t="s">
        <v>67</v>
      </c>
      <c r="B6" s="22">
        <v>904</v>
      </c>
      <c r="C6" s="22" t="s">
        <v>79</v>
      </c>
      <c r="D6" s="21" t="s">
        <v>23</v>
      </c>
      <c r="E6" s="22" t="s">
        <v>66</v>
      </c>
      <c r="F6" s="24">
        <v>622514.27692252584</v>
      </c>
      <c r="G6" s="24">
        <v>14912.569483522084</v>
      </c>
      <c r="H6" s="29">
        <v>38659.160596045134</v>
      </c>
      <c r="I6" s="30">
        <v>2109.4599999999969</v>
      </c>
      <c r="J6" s="24">
        <f t="shared" si="0"/>
        <v>607601.70743900375</v>
      </c>
      <c r="K6" s="129">
        <f t="shared" si="1"/>
        <v>15.716888263248062</v>
      </c>
      <c r="L6" s="71">
        <f t="shared" si="3"/>
        <v>0.92261684763021778</v>
      </c>
      <c r="M6" s="71">
        <f t="shared" si="4"/>
        <v>2.3955385500946523E-2</v>
      </c>
      <c r="N6" s="71">
        <f t="shared" si="5"/>
        <v>0.79787877586729605</v>
      </c>
      <c r="O6" s="170">
        <f t="shared" si="2"/>
        <v>18.326567271266196</v>
      </c>
      <c r="P6" s="143"/>
    </row>
    <row r="7" spans="1:18" x14ac:dyDescent="0.25">
      <c r="A7" s="93" t="s">
        <v>68</v>
      </c>
      <c r="B7" s="22">
        <v>903</v>
      </c>
      <c r="C7" s="22" t="s">
        <v>80</v>
      </c>
      <c r="D7" s="21" t="s">
        <v>23</v>
      </c>
      <c r="E7" s="22" t="s">
        <v>33</v>
      </c>
      <c r="F7" s="24">
        <v>1878568.4720758861</v>
      </c>
      <c r="G7" s="24">
        <v>69081.199693045826</v>
      </c>
      <c r="H7" s="29">
        <v>100523</v>
      </c>
      <c r="I7" s="30">
        <v>6582.9</v>
      </c>
      <c r="J7" s="24">
        <f t="shared" si="0"/>
        <v>1809487.2723828403</v>
      </c>
      <c r="K7" s="129">
        <f t="shared" si="1"/>
        <v>18.000728911620627</v>
      </c>
      <c r="L7" s="71">
        <f t="shared" si="3"/>
        <v>1.1518074494514661</v>
      </c>
      <c r="M7" s="71">
        <f t="shared" si="4"/>
        <v>3.6773320067864552E-2</v>
      </c>
      <c r="N7" s="71">
        <f t="shared" si="5"/>
        <v>0.70986100355383286</v>
      </c>
      <c r="O7" s="170">
        <f t="shared" si="2"/>
        <v>15.270321590788255</v>
      </c>
      <c r="P7" s="143"/>
    </row>
    <row r="8" spans="1:18" ht="15" customHeight="1" x14ac:dyDescent="0.25">
      <c r="A8" s="93" t="s">
        <v>68</v>
      </c>
      <c r="B8" s="21">
        <v>903</v>
      </c>
      <c r="C8" s="21" t="s">
        <v>80</v>
      </c>
      <c r="D8" s="21" t="s">
        <v>23</v>
      </c>
      <c r="E8" s="21" t="s">
        <v>65</v>
      </c>
      <c r="F8" s="24">
        <v>368647.67604454677</v>
      </c>
      <c r="G8" s="24">
        <v>15511.194037899162</v>
      </c>
      <c r="H8" s="29">
        <v>22571</v>
      </c>
      <c r="I8" s="30">
        <v>1241.2</v>
      </c>
      <c r="J8" s="24">
        <f t="shared" si="0"/>
        <v>353136.48200664762</v>
      </c>
      <c r="K8" s="129">
        <f t="shared" si="1"/>
        <v>15.645584245565001</v>
      </c>
      <c r="L8" s="71">
        <f t="shared" si="3"/>
        <v>0.96341458220534526</v>
      </c>
      <c r="M8" s="71">
        <f t="shared" si="4"/>
        <v>4.2075930613013859E-2</v>
      </c>
      <c r="N8" s="71">
        <f t="shared" si="5"/>
        <v>1.3125995780713886</v>
      </c>
      <c r="O8" s="170">
        <f t="shared" si="2"/>
        <v>18.184821140831453</v>
      </c>
      <c r="P8" s="143"/>
    </row>
    <row r="9" spans="1:18" ht="15.75" thickBot="1" x14ac:dyDescent="0.3">
      <c r="A9" s="145" t="s">
        <v>68</v>
      </c>
      <c r="B9" s="146">
        <v>903</v>
      </c>
      <c r="C9" s="146" t="s">
        <v>80</v>
      </c>
      <c r="D9" s="147" t="s">
        <v>23</v>
      </c>
      <c r="E9" s="146" t="s">
        <v>66</v>
      </c>
      <c r="F9" s="148">
        <v>410381.37521940109</v>
      </c>
      <c r="G9" s="148">
        <v>14811.606269055012</v>
      </c>
      <c r="H9" s="149">
        <v>21553</v>
      </c>
      <c r="I9" s="150">
        <v>1374.7</v>
      </c>
      <c r="J9" s="148">
        <f t="shared" si="0"/>
        <v>395569.7689503461</v>
      </c>
      <c r="K9" s="171">
        <f t="shared" si="1"/>
        <v>18.353350760931011</v>
      </c>
      <c r="L9" s="79">
        <f t="shared" si="3"/>
        <v>1.0773831523697821</v>
      </c>
      <c r="M9" s="79">
        <f t="shared" si="4"/>
        <v>3.6092296491614224E-2</v>
      </c>
      <c r="N9" s="79">
        <f t="shared" si="5"/>
        <v>1.2021212241327039</v>
      </c>
      <c r="O9" s="278">
        <f t="shared" si="2"/>
        <v>15.678329817414708</v>
      </c>
      <c r="P9" s="152"/>
    </row>
    <row r="10" spans="1:18" x14ac:dyDescent="0.25">
      <c r="A10" s="21"/>
      <c r="B10" s="22"/>
      <c r="C10" s="22"/>
      <c r="D10" s="21"/>
      <c r="E10" s="22"/>
      <c r="F10" s="24"/>
      <c r="G10" s="24"/>
      <c r="H10" s="24"/>
      <c r="I10" s="24"/>
      <c r="J10" s="24"/>
      <c r="K10" s="25"/>
      <c r="L10" s="71"/>
      <c r="M10" s="71"/>
      <c r="N10" s="71"/>
      <c r="O10" s="132"/>
      <c r="P10" s="21"/>
    </row>
    <row r="11" spans="1:18" x14ac:dyDescent="0.25">
      <c r="A11" s="21"/>
      <c r="B11" s="22"/>
      <c r="C11" s="22"/>
      <c r="D11" s="21"/>
      <c r="E11" s="22"/>
      <c r="F11" s="24"/>
      <c r="G11" s="24"/>
      <c r="H11" s="24"/>
      <c r="I11" s="24"/>
      <c r="J11" s="24"/>
      <c r="K11" s="25"/>
      <c r="L11" s="71"/>
      <c r="M11" s="71"/>
      <c r="N11" s="71"/>
      <c r="O11" s="132"/>
      <c r="P11" s="21"/>
    </row>
    <row r="12" spans="1:18" x14ac:dyDescent="0.25">
      <c r="A12" s="21"/>
      <c r="B12" s="22"/>
      <c r="C12" s="22"/>
      <c r="D12" s="21"/>
      <c r="E12" s="22"/>
      <c r="F12" s="25"/>
      <c r="G12" s="31"/>
      <c r="H12" s="25"/>
      <c r="I12" s="29"/>
      <c r="J12" s="30"/>
      <c r="K12" s="129"/>
      <c r="L12" s="129"/>
      <c r="M12" s="71"/>
      <c r="N12" s="71"/>
      <c r="O12" s="129"/>
      <c r="P12" s="21"/>
    </row>
    <row r="13" spans="1:18" ht="15.75" thickBot="1" x14ac:dyDescent="0.3">
      <c r="A13" s="21"/>
      <c r="B13" s="21"/>
      <c r="C13" s="21"/>
      <c r="D13" s="21"/>
      <c r="E13" s="268" t="s">
        <v>113</v>
      </c>
      <c r="F13" s="268"/>
      <c r="G13" s="268"/>
      <c r="H13" s="268"/>
      <c r="I13" s="268"/>
      <c r="J13" s="268"/>
      <c r="K13" s="268"/>
      <c r="L13" s="21"/>
      <c r="M13" s="71"/>
      <c r="N13" s="71"/>
      <c r="O13" s="21"/>
      <c r="P13" s="21"/>
      <c r="R13" s="1"/>
    </row>
    <row r="14" spans="1:18" ht="36" x14ac:dyDescent="0.25">
      <c r="A14" s="21"/>
      <c r="B14" s="21"/>
      <c r="C14" s="21"/>
      <c r="D14" s="21"/>
      <c r="E14" s="82" t="s">
        <v>63</v>
      </c>
      <c r="F14" s="126" t="s">
        <v>44</v>
      </c>
      <c r="G14" s="127" t="s">
        <v>45</v>
      </c>
      <c r="H14" s="127" t="s">
        <v>46</v>
      </c>
      <c r="I14" s="127" t="s">
        <v>47</v>
      </c>
      <c r="J14" s="128" t="s">
        <v>48</v>
      </c>
      <c r="K14" s="85" t="s">
        <v>62</v>
      </c>
      <c r="L14" s="21"/>
      <c r="M14" s="71"/>
      <c r="N14" s="71"/>
      <c r="O14" s="21"/>
      <c r="P14" s="21"/>
    </row>
    <row r="15" spans="1:18" x14ac:dyDescent="0.25">
      <c r="A15" s="21"/>
      <c r="B15" s="21"/>
      <c r="C15" s="21"/>
      <c r="D15" s="21"/>
      <c r="E15" s="86">
        <f>COUNTIF($E$4:$E$9, "Weekdays")</f>
        <v>2</v>
      </c>
      <c r="F15" s="153" t="s">
        <v>33</v>
      </c>
      <c r="G15" s="154">
        <f>AVERAGEIF($E$4:$E$9,"Weekdays",K4:K9)</f>
        <v>15.62824491211031</v>
      </c>
      <c r="H15" s="155">
        <f>G15*1.2</f>
        <v>18.753893894532371</v>
      </c>
      <c r="I15" s="156">
        <f>G15*1.35</f>
        <v>21.098130631348919</v>
      </c>
      <c r="J15" s="157">
        <f>G15*1.6</f>
        <v>25.005191859376495</v>
      </c>
      <c r="K15" s="92">
        <f>+SUMIF($E$4:$E$9,"Weekdays",$J$4:$J$9)/SUMIF($E$4:$E$9,"Weekdays",$H$4:$H$9)</f>
        <v>14.250208200227057</v>
      </c>
      <c r="L15" s="21"/>
      <c r="M15" s="71"/>
      <c r="N15" s="71"/>
      <c r="O15" s="21"/>
      <c r="P15" s="21"/>
    </row>
    <row r="16" spans="1:18" x14ac:dyDescent="0.25">
      <c r="A16" s="21"/>
      <c r="B16" s="21"/>
      <c r="C16" s="21"/>
      <c r="D16" s="21"/>
      <c r="E16" s="86">
        <f>COUNTIF($E$4:$E$9, "Saturdays")</f>
        <v>2</v>
      </c>
      <c r="F16" s="153" t="s">
        <v>65</v>
      </c>
      <c r="G16" s="154">
        <f>AVERAGEIF($E$4:$E$9,"Saturdays",K4:K9)</f>
        <v>16.239721231695299</v>
      </c>
      <c r="H16" s="155">
        <f>G16*1.2</f>
        <v>19.487665478034359</v>
      </c>
      <c r="I16" s="156">
        <f>G16*1.35</f>
        <v>21.923623662788653</v>
      </c>
      <c r="J16" s="157">
        <f>G16*1.6</f>
        <v>25.983553970712478</v>
      </c>
      <c r="K16" s="92">
        <f>+SUMIF($E$4:$E$9,"saturdays",$J$4:$J$9)/SUMIF($E$4:$E$9,"saturdays",$H$4:$H$9)</f>
        <v>16.417907961541626</v>
      </c>
      <c r="L16" s="21"/>
      <c r="M16" s="71"/>
      <c r="N16" s="71"/>
      <c r="O16" s="21"/>
      <c r="P16" s="21"/>
    </row>
    <row r="17" spans="1:16" ht="15.75" thickBot="1" x14ac:dyDescent="0.3">
      <c r="A17" s="21"/>
      <c r="B17" s="21"/>
      <c r="C17" s="21"/>
      <c r="D17" s="21"/>
      <c r="E17" s="98">
        <f>COUNTIF($E$4:$E$9, "Sundays")</f>
        <v>2</v>
      </c>
      <c r="F17" s="153" t="s">
        <v>66</v>
      </c>
      <c r="G17" s="158">
        <f>AVERAGEIF($E$4:$E$9,"Sundays",K4:K9)</f>
        <v>17.035119512089537</v>
      </c>
      <c r="H17" s="155">
        <f>G17*1.2</f>
        <v>20.442143414507445</v>
      </c>
      <c r="I17" s="156">
        <f>G17*1.35</f>
        <v>22.997411341320877</v>
      </c>
      <c r="J17" s="157">
        <f>G17*1.6</f>
        <v>27.256191219343261</v>
      </c>
      <c r="K17" s="92">
        <f>+SUMIF($E$4:$E$9,"Sundays",$J$4:$J$9)/SUMIF($E$4:$E$9,"Sundays",$H$4:$H$9)</f>
        <v>16.660612515127724</v>
      </c>
      <c r="L17" s="21"/>
      <c r="M17" s="71"/>
      <c r="N17" s="71"/>
      <c r="O17" s="21"/>
      <c r="P17" s="21"/>
    </row>
    <row r="18" spans="1:16" ht="15.75" thickBot="1" x14ac:dyDescent="0.3">
      <c r="A18" s="21"/>
      <c r="B18" s="21"/>
      <c r="C18" s="21"/>
      <c r="D18" s="21"/>
      <c r="E18" s="21"/>
      <c r="F18" s="159" t="s">
        <v>61</v>
      </c>
      <c r="G18" s="105">
        <v>25</v>
      </c>
      <c r="H18" s="106"/>
      <c r="I18" s="106"/>
      <c r="J18" s="107"/>
      <c r="K18" s="108">
        <f>+SUM($J$4:$J$9)/SUM($H$4:$H$9)</f>
        <v>14.721651516981451</v>
      </c>
      <c r="L18" s="21"/>
      <c r="M18" s="71"/>
      <c r="N18" s="71"/>
      <c r="O18" s="21"/>
      <c r="P18" s="21"/>
    </row>
    <row r="19" spans="1:16" ht="15.75" thickBot="1" x14ac:dyDescent="0.3">
      <c r="E19" s="270" t="s">
        <v>112</v>
      </c>
      <c r="F19" s="270"/>
      <c r="G19" s="270"/>
      <c r="H19" s="270"/>
      <c r="I19" s="270"/>
      <c r="J19" s="270"/>
      <c r="K19" s="270"/>
      <c r="M19" s="71"/>
      <c r="N19" s="71"/>
    </row>
    <row r="20" spans="1:16" ht="36" x14ac:dyDescent="0.25">
      <c r="E20" s="248"/>
      <c r="F20" s="82" t="s">
        <v>44</v>
      </c>
      <c r="G20" s="83" t="s">
        <v>45</v>
      </c>
      <c r="H20" s="83" t="s">
        <v>46</v>
      </c>
      <c r="I20" s="83" t="s">
        <v>47</v>
      </c>
      <c r="J20" s="84" t="s">
        <v>48</v>
      </c>
      <c r="K20" s="85" t="s">
        <v>62</v>
      </c>
      <c r="M20" s="71"/>
      <c r="N20" s="71"/>
    </row>
    <row r="21" spans="1:16" x14ac:dyDescent="0.25">
      <c r="E21" s="249"/>
      <c r="F21" s="87" t="s">
        <v>33</v>
      </c>
      <c r="G21" s="229">
        <f>AVERAGEIF($E$4:$E$99,"Weekdays",$M$4:$M$99)</f>
        <v>5.180355010877255E-2</v>
      </c>
      <c r="H21" s="230">
        <f>G21*0.8</f>
        <v>4.144284008701804E-2</v>
      </c>
      <c r="I21" s="231">
        <f>G21*0.65</f>
        <v>3.3672307570702158E-2</v>
      </c>
      <c r="J21" s="232">
        <f>G21*0.4</f>
        <v>2.072142004350902E-2</v>
      </c>
      <c r="K21" s="237">
        <f>+SUMIF($E$4:$E$99,"Weekdays",$G$4:$G$99)/SUMIF($E$4:$E$99,"Weekdays",$F$4:$F$99)</f>
        <v>5.9059744450495839E-2</v>
      </c>
      <c r="M21" s="71"/>
      <c r="N21" s="71"/>
    </row>
    <row r="22" spans="1:16" x14ac:dyDescent="0.25">
      <c r="E22" s="249"/>
      <c r="F22" s="93" t="s">
        <v>65</v>
      </c>
      <c r="G22" s="233">
        <f>AVERAGEIF($E$4:$E$99,"Saturdays",$M$4:$M$99)</f>
        <v>3.2055419882761435E-2</v>
      </c>
      <c r="H22" s="234">
        <f>G22*0.8</f>
        <v>2.564433590620915E-2</v>
      </c>
      <c r="I22" s="235">
        <f>G22*0.65</f>
        <v>2.0836022923794932E-2</v>
      </c>
      <c r="J22" s="236">
        <f>G22*0.4</f>
        <v>1.2822167953104575E-2</v>
      </c>
      <c r="K22" s="237">
        <f>+SUMIF($E$4:$E$99,"Saturdays",$G$4:$G$99)/SUMIF($E$4:$E$99,"Saturdays",$F$4:$F$99)</f>
        <v>2.8812736876068782E-2</v>
      </c>
      <c r="M22" s="71"/>
      <c r="N22" s="71"/>
    </row>
    <row r="23" spans="1:16" x14ac:dyDescent="0.25">
      <c r="E23" s="249"/>
      <c r="F23" s="99" t="s">
        <v>66</v>
      </c>
      <c r="G23" s="244">
        <f>AVERAGEIF($E$4:$E$99,"Sundays",$M$4:$M$99)</f>
        <v>3.0023840996280374E-2</v>
      </c>
      <c r="H23" s="245">
        <f>G23*0.8</f>
        <v>2.40190727970243E-2</v>
      </c>
      <c r="I23" s="246">
        <f>G23*0.65</f>
        <v>1.9515496647582245E-2</v>
      </c>
      <c r="J23" s="247">
        <f>G23*0.4</f>
        <v>1.200953639851215E-2</v>
      </c>
      <c r="K23" s="237">
        <f>+SUMIF($E$4:$E$99,"Sundays",$G$4:$G$99)/SUMIF($E$4:$E$99,"Sundays",$F$4:$F$99)</f>
        <v>2.8777520450335665E-2</v>
      </c>
      <c r="M23" s="71"/>
      <c r="N23" s="71"/>
    </row>
    <row r="24" spans="1:16" ht="15.75" thickBot="1" x14ac:dyDescent="0.3">
      <c r="E24" s="56"/>
      <c r="F24" s="145" t="s">
        <v>115</v>
      </c>
      <c r="G24" s="239">
        <f>AVERAGE(M:M)</f>
        <v>3.7960936995938117E-2</v>
      </c>
      <c r="H24" s="240">
        <f>G24*0.8</f>
        <v>3.0368749596750497E-2</v>
      </c>
      <c r="I24" s="241">
        <f>G24*0.65</f>
        <v>2.4674609047359776E-2</v>
      </c>
      <c r="J24" s="242">
        <f>G24*0.4</f>
        <v>1.5184374798375248E-2</v>
      </c>
      <c r="K24" s="238">
        <f>+SUM($G$4:$G$99)/SUM($F$4:$F$99)</f>
        <v>5.2223153054909391E-2</v>
      </c>
      <c r="M24" s="71"/>
      <c r="N24" s="71"/>
    </row>
    <row r="25" spans="1:16" x14ac:dyDescent="0.25">
      <c r="H25" s="224"/>
      <c r="M25" s="71"/>
      <c r="N25" s="71"/>
    </row>
    <row r="26" spans="1:16" x14ac:dyDescent="0.25">
      <c r="M26" s="71"/>
      <c r="N26" s="71"/>
    </row>
    <row r="27" spans="1:16" x14ac:dyDescent="0.25">
      <c r="M27" s="71"/>
      <c r="N27" s="71"/>
    </row>
    <row r="28" spans="1:16" x14ac:dyDescent="0.25">
      <c r="M28" s="71"/>
      <c r="N28" s="71"/>
    </row>
    <row r="29" spans="1:16" x14ac:dyDescent="0.25">
      <c r="M29" s="71"/>
      <c r="N29" s="71"/>
    </row>
    <row r="30" spans="1:16" x14ac:dyDescent="0.25">
      <c r="M30" s="71"/>
      <c r="N30" s="71"/>
    </row>
    <row r="31" spans="1:16" x14ac:dyDescent="0.25">
      <c r="M31" s="71"/>
      <c r="N31" s="71"/>
    </row>
    <row r="32" spans="1:16" x14ac:dyDescent="0.25">
      <c r="M32" s="71"/>
      <c r="N32" s="71"/>
    </row>
    <row r="33" spans="13:14" x14ac:dyDescent="0.25">
      <c r="M33" s="71"/>
      <c r="N33" s="71"/>
    </row>
    <row r="34" spans="13:14" x14ac:dyDescent="0.25">
      <c r="M34" s="71"/>
      <c r="N34" s="71"/>
    </row>
    <row r="35" spans="13:14" x14ac:dyDescent="0.25">
      <c r="M35" s="71"/>
      <c r="N35" s="71"/>
    </row>
    <row r="36" spans="13:14" x14ac:dyDescent="0.25">
      <c r="M36" s="71"/>
      <c r="N36" s="71"/>
    </row>
    <row r="37" spans="13:14" x14ac:dyDescent="0.25">
      <c r="M37" s="71"/>
      <c r="N37" s="71"/>
    </row>
    <row r="38" spans="13:14" x14ac:dyDescent="0.25">
      <c r="M38" s="71"/>
      <c r="N38" s="71"/>
    </row>
    <row r="39" spans="13:14" x14ac:dyDescent="0.25">
      <c r="M39" s="71"/>
      <c r="N39" s="71"/>
    </row>
    <row r="40" spans="13:14" x14ac:dyDescent="0.25">
      <c r="M40" s="71"/>
      <c r="N40" s="71"/>
    </row>
    <row r="41" spans="13:14" x14ac:dyDescent="0.25">
      <c r="M41" s="71"/>
      <c r="N41" s="71"/>
    </row>
    <row r="42" spans="13:14" x14ac:dyDescent="0.25">
      <c r="M42" s="71"/>
      <c r="N42" s="71"/>
    </row>
    <row r="43" spans="13:14" x14ac:dyDescent="0.25">
      <c r="M43" s="71"/>
      <c r="N43" s="71"/>
    </row>
    <row r="44" spans="13:14" x14ac:dyDescent="0.25">
      <c r="M44" s="71"/>
      <c r="N44" s="71"/>
    </row>
    <row r="45" spans="13:14" x14ac:dyDescent="0.25">
      <c r="M45" s="71"/>
      <c r="N45" s="71"/>
    </row>
    <row r="46" spans="13:14" x14ac:dyDescent="0.25">
      <c r="M46" s="71"/>
      <c r="N46" s="71"/>
    </row>
    <row r="47" spans="13:14" x14ac:dyDescent="0.25">
      <c r="M47" s="71"/>
      <c r="N47" s="71"/>
    </row>
    <row r="48" spans="13:14" x14ac:dyDescent="0.25">
      <c r="M48" s="71"/>
      <c r="N48" s="71"/>
    </row>
    <row r="49" spans="13:14" x14ac:dyDescent="0.25">
      <c r="M49" s="71"/>
      <c r="N49" s="71"/>
    </row>
    <row r="50" spans="13:14" x14ac:dyDescent="0.25">
      <c r="M50" s="71"/>
      <c r="N50" s="71"/>
    </row>
    <row r="51" spans="13:14" x14ac:dyDescent="0.25">
      <c r="M51" s="71"/>
      <c r="N51" s="71"/>
    </row>
    <row r="52" spans="13:14" x14ac:dyDescent="0.25">
      <c r="M52" s="71"/>
      <c r="N52" s="71"/>
    </row>
    <row r="53" spans="13:14" x14ac:dyDescent="0.25">
      <c r="M53" s="71"/>
      <c r="N53" s="71"/>
    </row>
    <row r="54" spans="13:14" x14ac:dyDescent="0.25">
      <c r="M54" s="71"/>
      <c r="N54" s="71"/>
    </row>
    <row r="55" spans="13:14" x14ac:dyDescent="0.25">
      <c r="M55" s="71"/>
      <c r="N55" s="71"/>
    </row>
    <row r="56" spans="13:14" x14ac:dyDescent="0.25">
      <c r="M56" s="71"/>
      <c r="N56" s="71"/>
    </row>
    <row r="57" spans="13:14" x14ac:dyDescent="0.25">
      <c r="M57" s="71"/>
      <c r="N57" s="71"/>
    </row>
    <row r="58" spans="13:14" x14ac:dyDescent="0.25">
      <c r="M58" s="71"/>
      <c r="N58" s="71"/>
    </row>
    <row r="59" spans="13:14" x14ac:dyDescent="0.25">
      <c r="M59" s="71"/>
      <c r="N59" s="71"/>
    </row>
    <row r="60" spans="13:14" x14ac:dyDescent="0.25">
      <c r="M60" s="71"/>
      <c r="N60" s="71"/>
    </row>
    <row r="61" spans="13:14" x14ac:dyDescent="0.25">
      <c r="M61" s="71"/>
      <c r="N61" s="71"/>
    </row>
    <row r="62" spans="13:14" x14ac:dyDescent="0.25">
      <c r="M62" s="71"/>
      <c r="N62" s="71"/>
    </row>
    <row r="63" spans="13:14" x14ac:dyDescent="0.25">
      <c r="M63" s="71"/>
      <c r="N63" s="71"/>
    </row>
    <row r="64" spans="13:14" x14ac:dyDescent="0.25">
      <c r="M64" s="71"/>
      <c r="N64" s="71"/>
    </row>
    <row r="65" spans="13:14" x14ac:dyDescent="0.25">
      <c r="M65" s="71"/>
      <c r="N65" s="71"/>
    </row>
    <row r="66" spans="13:14" x14ac:dyDescent="0.25">
      <c r="M66" s="71"/>
      <c r="N66" s="71"/>
    </row>
    <row r="67" spans="13:14" x14ac:dyDescent="0.25">
      <c r="M67" s="71"/>
      <c r="N67" s="71"/>
    </row>
    <row r="68" spans="13:14" x14ac:dyDescent="0.25">
      <c r="M68" s="71"/>
      <c r="N68" s="71"/>
    </row>
    <row r="69" spans="13:14" x14ac:dyDescent="0.25">
      <c r="M69" s="71"/>
      <c r="N69" s="71"/>
    </row>
    <row r="70" spans="13:14" x14ac:dyDescent="0.25">
      <c r="M70" s="71"/>
      <c r="N70" s="71"/>
    </row>
    <row r="71" spans="13:14" x14ac:dyDescent="0.25">
      <c r="M71" s="71"/>
      <c r="N71" s="71"/>
    </row>
    <row r="72" spans="13:14" x14ac:dyDescent="0.25">
      <c r="M72" s="71"/>
      <c r="N72" s="71"/>
    </row>
    <row r="73" spans="13:14" x14ac:dyDescent="0.25">
      <c r="M73" s="71"/>
      <c r="N73" s="71"/>
    </row>
    <row r="74" spans="13:14" x14ac:dyDescent="0.25">
      <c r="M74" s="71"/>
      <c r="N74" s="71"/>
    </row>
    <row r="75" spans="13:14" x14ac:dyDescent="0.25">
      <c r="M75" s="71"/>
      <c r="N75" s="71"/>
    </row>
    <row r="76" spans="13:14" x14ac:dyDescent="0.25">
      <c r="M76" s="71"/>
      <c r="N76" s="71"/>
    </row>
    <row r="77" spans="13:14" x14ac:dyDescent="0.25">
      <c r="M77" s="71"/>
      <c r="N77" s="71"/>
    </row>
    <row r="78" spans="13:14" x14ac:dyDescent="0.25">
      <c r="M78" s="71"/>
      <c r="N78" s="71"/>
    </row>
    <row r="79" spans="13:14" x14ac:dyDescent="0.25">
      <c r="M79" s="71"/>
      <c r="N79" s="71"/>
    </row>
    <row r="80" spans="13:14" x14ac:dyDescent="0.25">
      <c r="M80" s="71"/>
      <c r="N80" s="71"/>
    </row>
    <row r="81" spans="13:14" x14ac:dyDescent="0.25">
      <c r="M81" s="71"/>
      <c r="N81" s="71"/>
    </row>
    <row r="82" spans="13:14" x14ac:dyDescent="0.25">
      <c r="M82" s="71"/>
      <c r="N82" s="71"/>
    </row>
    <row r="83" spans="13:14" x14ac:dyDescent="0.25">
      <c r="M83" s="71"/>
      <c r="N83" s="71"/>
    </row>
    <row r="84" spans="13:14" x14ac:dyDescent="0.25">
      <c r="M84" s="71"/>
      <c r="N84" s="71"/>
    </row>
    <row r="85" spans="13:14" x14ac:dyDescent="0.25">
      <c r="M85" s="71"/>
      <c r="N85" s="71"/>
    </row>
    <row r="86" spans="13:14" x14ac:dyDescent="0.25">
      <c r="M86" s="71"/>
      <c r="N86" s="71"/>
    </row>
    <row r="87" spans="13:14" x14ac:dyDescent="0.25">
      <c r="M87" s="71"/>
      <c r="N87" s="71"/>
    </row>
    <row r="88" spans="13:14" x14ac:dyDescent="0.25">
      <c r="M88" s="71"/>
      <c r="N88" s="71"/>
    </row>
    <row r="89" spans="13:14" x14ac:dyDescent="0.25">
      <c r="M89" s="71"/>
      <c r="N89" s="71"/>
    </row>
    <row r="90" spans="13:14" x14ac:dyDescent="0.25">
      <c r="M90" s="71"/>
      <c r="N90" s="71"/>
    </row>
    <row r="91" spans="13:14" x14ac:dyDescent="0.25">
      <c r="M91" s="71"/>
      <c r="N91" s="71"/>
    </row>
    <row r="92" spans="13:14" x14ac:dyDescent="0.25">
      <c r="M92" s="71"/>
      <c r="N92" s="71"/>
    </row>
    <row r="93" spans="13:14" x14ac:dyDescent="0.25">
      <c r="M93" s="71"/>
      <c r="N93" s="71"/>
    </row>
    <row r="94" spans="13:14" x14ac:dyDescent="0.25">
      <c r="M94" s="71"/>
      <c r="N94" s="71"/>
    </row>
    <row r="95" spans="13:14" x14ac:dyDescent="0.25">
      <c r="M95" s="71"/>
      <c r="N95" s="71"/>
    </row>
    <row r="96" spans="13:14" x14ac:dyDescent="0.25">
      <c r="M96" s="71"/>
      <c r="N96" s="71"/>
    </row>
    <row r="97" spans="13:14" x14ac:dyDescent="0.25">
      <c r="M97" s="71"/>
      <c r="N97" s="71"/>
    </row>
    <row r="98" spans="13:14" x14ac:dyDescent="0.25">
      <c r="M98" s="71"/>
      <c r="N98" s="71"/>
    </row>
    <row r="99" spans="13:14" x14ac:dyDescent="0.25">
      <c r="M99" s="71"/>
      <c r="N99" s="71"/>
    </row>
  </sheetData>
  <autoFilter ref="A3:P9" xr:uid="{B705A104-476E-4AB4-9F61-7DEA9C03266E}"/>
  <sortState xmlns:xlrd2="http://schemas.microsoft.com/office/spreadsheetml/2017/richdata2" ref="A4:P9">
    <sortCondition ref="E4:E9" customList="Weekday,Wk,Saturday,Sat,Sunday,Sun,Sunday/Holiday,Sunday / Holiday,Reduced"/>
    <sortCondition ref="B4:B9"/>
  </sortState>
  <mergeCells count="3">
    <mergeCell ref="A2:O2"/>
    <mergeCell ref="E13:K13"/>
    <mergeCell ref="E19:K19"/>
  </mergeCells>
  <conditionalFormatting sqref="H7">
    <cfRule type="expression" dxfId="25" priority="16">
      <formula>(ROW(H7)-1)/3=ROUND((ROW(H7)-1)/3,0)</formula>
    </cfRule>
  </conditionalFormatting>
  <conditionalFormatting sqref="H9:I9">
    <cfRule type="expression" dxfId="24" priority="8">
      <formula>(ROW(H9)-1)/3=ROUND((ROW(H9)-1)/3,0)</formula>
    </cfRule>
  </conditionalFormatting>
  <conditionalFormatting sqref="I4">
    <cfRule type="expression" dxfId="23" priority="11">
      <formula>(ROW(I4)-1)/3=ROUND((ROW(I4)-1)/3,0)</formula>
    </cfRule>
  </conditionalFormatting>
  <conditionalFormatting sqref="I6:I7">
    <cfRule type="expression" dxfId="22" priority="9">
      <formula>(ROW(I6)-1)/3=ROUND((ROW(I6)-1)/3,0)</formula>
    </cfRule>
  </conditionalFormatting>
  <conditionalFormatting sqref="L1">
    <cfRule type="cellIs" dxfId="21" priority="18" operator="greaterThan">
      <formula>1.6</formula>
    </cfRule>
  </conditionalFormatting>
  <conditionalFormatting sqref="O4:O9">
    <cfRule type="cellIs" dxfId="20" priority="29" operator="lessThan">
      <formula>$G$18</formula>
    </cfRule>
  </conditionalFormatting>
  <conditionalFormatting sqref="O9">
    <cfRule type="cellIs" dxfId="19" priority="4" operator="lessThan">
      <formula>$G$22</formula>
    </cfRule>
  </conditionalFormatting>
  <conditionalFormatting sqref="N4:N9">
    <cfRule type="cellIs" dxfId="18" priority="1" operator="lessThan">
      <formula>0.4</formula>
    </cfRule>
    <cfRule type="cellIs" dxfId="17" priority="2" operator="between">
      <formula>0.65</formula>
      <formula>0.4</formula>
    </cfRule>
    <cfRule type="cellIs" dxfId="16" priority="3" operator="between">
      <formula>0.8</formula>
      <formula>0.65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B07E-1B53-44D5-AA4B-8722C5B28026}">
  <dimension ref="A1:T9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2" sqref="F12"/>
    </sheetView>
  </sheetViews>
  <sheetFormatPr defaultRowHeight="15" x14ac:dyDescent="0.25"/>
  <cols>
    <col min="1" max="1" width="25.5703125" bestFit="1" customWidth="1"/>
    <col min="2" max="2" width="9.85546875" customWidth="1"/>
    <col min="3" max="3" width="10.7109375" customWidth="1"/>
    <col min="4" max="4" width="10.5703125" customWidth="1"/>
    <col min="5" max="5" width="10.7109375" customWidth="1"/>
    <col min="6" max="6" width="13.85546875" bestFit="1" customWidth="1"/>
    <col min="7" max="7" width="15.140625" bestFit="1" customWidth="1"/>
    <col min="8" max="8" width="13.85546875" bestFit="1" customWidth="1"/>
    <col min="9" max="9" width="14.42578125" customWidth="1"/>
    <col min="10" max="10" width="12.42578125" customWidth="1"/>
    <col min="11" max="11" width="11.7109375" customWidth="1"/>
    <col min="12" max="14" width="14.140625" customWidth="1"/>
    <col min="15" max="15" width="12.5703125" customWidth="1"/>
    <col min="16" max="16" width="35.7109375" customWidth="1"/>
    <col min="17" max="17" width="14.7109375" bestFit="1" customWidth="1"/>
    <col min="18" max="19" width="14.85546875" bestFit="1" customWidth="1"/>
  </cols>
  <sheetData>
    <row r="1" spans="1:20" ht="22.5" x14ac:dyDescent="0.45">
      <c r="A1" s="13" t="s">
        <v>55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O1" s="14"/>
      <c r="P1" s="14"/>
    </row>
    <row r="2" spans="1:20" ht="37.5" thickBot="1" x14ac:dyDescent="0.75">
      <c r="A2" s="266" t="s">
        <v>85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47"/>
    </row>
    <row r="3" spans="1:20" s="6" customFormat="1" ht="75.75" thickBot="1" x14ac:dyDescent="0.3">
      <c r="A3" s="200" t="s">
        <v>8</v>
      </c>
      <c r="B3" s="282" t="s">
        <v>77</v>
      </c>
      <c r="C3" s="283" t="s">
        <v>78</v>
      </c>
      <c r="D3" s="283" t="s">
        <v>0</v>
      </c>
      <c r="E3" s="284" t="s">
        <v>1</v>
      </c>
      <c r="F3" s="284" t="s">
        <v>2</v>
      </c>
      <c r="G3" s="284" t="s">
        <v>38</v>
      </c>
      <c r="H3" s="285" t="s">
        <v>40</v>
      </c>
      <c r="I3" s="285" t="s">
        <v>64</v>
      </c>
      <c r="J3" s="286" t="s">
        <v>39</v>
      </c>
      <c r="K3" s="287" t="s">
        <v>14</v>
      </c>
      <c r="L3" s="287" t="s">
        <v>75</v>
      </c>
      <c r="M3" s="288" t="s">
        <v>112</v>
      </c>
      <c r="N3" s="288" t="s">
        <v>114</v>
      </c>
      <c r="O3" s="289" t="s">
        <v>42</v>
      </c>
      <c r="P3" s="200" t="s">
        <v>43</v>
      </c>
    </row>
    <row r="4" spans="1:20" ht="15.75" thickTop="1" x14ac:dyDescent="0.25">
      <c r="A4" s="60" t="s">
        <v>67</v>
      </c>
      <c r="B4" s="290">
        <v>901</v>
      </c>
      <c r="C4" s="61" t="s">
        <v>21</v>
      </c>
      <c r="D4" s="62" t="s">
        <v>24</v>
      </c>
      <c r="E4" s="61" t="s">
        <v>33</v>
      </c>
      <c r="F4" s="110">
        <v>33565624.189401411</v>
      </c>
      <c r="G4" s="110">
        <v>3743341.2446590168</v>
      </c>
      <c r="H4" s="111">
        <v>4590178</v>
      </c>
      <c r="I4" s="112">
        <v>26009.710000000057</v>
      </c>
      <c r="J4" s="110">
        <f t="shared" ref="J4:J11" si="0">F4-G4</f>
        <v>29822282.944742393</v>
      </c>
      <c r="K4" s="291">
        <f t="shared" ref="K4:K11" si="1">J4/H4</f>
        <v>6.496977447223701</v>
      </c>
      <c r="L4" s="66">
        <f>K4/$G$15</f>
        <v>1.2095570135715845</v>
      </c>
      <c r="M4" s="254">
        <f>(G4/F4)</f>
        <v>0.11152306370161304</v>
      </c>
      <c r="N4" s="66">
        <f>+IF(E4="Weekdays",M4/$G$21,IF(E4="Saturdays",M4/$G$22,IF(E4="Sundays",M4/$G$23,"NA")))</f>
        <v>0.75877614139159788</v>
      </c>
      <c r="O4" s="292">
        <f t="shared" ref="O4:O11" si="2">H4/I4</f>
        <v>176.47939942429153</v>
      </c>
      <c r="P4" s="114"/>
    </row>
    <row r="5" spans="1:20" x14ac:dyDescent="0.25">
      <c r="A5" s="69" t="s">
        <v>67</v>
      </c>
      <c r="B5" s="279">
        <v>902</v>
      </c>
      <c r="C5" s="280" t="s">
        <v>22</v>
      </c>
      <c r="D5" s="281" t="s">
        <v>24</v>
      </c>
      <c r="E5" s="280" t="s">
        <v>33</v>
      </c>
      <c r="F5" s="293">
        <v>32193437.8025443</v>
      </c>
      <c r="G5" s="293">
        <v>5873114.8755021635</v>
      </c>
      <c r="H5" s="294">
        <v>6199200</v>
      </c>
      <c r="I5" s="295">
        <v>28727.720000000125</v>
      </c>
      <c r="J5" s="293">
        <f t="shared" si="0"/>
        <v>26320322.927042134</v>
      </c>
      <c r="K5" s="129">
        <f t="shared" si="1"/>
        <v>4.2457612154862137</v>
      </c>
      <c r="L5" s="71">
        <f>K5/$G$15</f>
        <v>0.79044298642841548</v>
      </c>
      <c r="M5" s="71">
        <f t="shared" ref="M5:M11" si="3">G5/F5</f>
        <v>0.18243205064101609</v>
      </c>
      <c r="N5" s="71">
        <f t="shared" ref="N5:N9" si="4">+IF(E5="Weekdays",M5/$G$21,IF(E5="Saturdays",M5/$G$22,IF(E5="Sundays",M5/$G$23,"NA")))</f>
        <v>1.2412238586084021</v>
      </c>
      <c r="O5" s="170">
        <f t="shared" si="2"/>
        <v>215.79157691595341</v>
      </c>
      <c r="P5" s="117"/>
    </row>
    <row r="6" spans="1:20" x14ac:dyDescent="0.25">
      <c r="A6" s="69" t="s">
        <v>67</v>
      </c>
      <c r="B6" s="279">
        <v>901</v>
      </c>
      <c r="C6" s="281" t="s">
        <v>21</v>
      </c>
      <c r="D6" s="281" t="s">
        <v>24</v>
      </c>
      <c r="E6" s="281" t="s">
        <v>65</v>
      </c>
      <c r="F6" s="293">
        <v>6851578.1617269684</v>
      </c>
      <c r="G6" s="293">
        <v>779834.14845517417</v>
      </c>
      <c r="H6" s="294">
        <v>956252</v>
      </c>
      <c r="I6" s="295">
        <v>5287.2700000000013</v>
      </c>
      <c r="J6" s="293">
        <f t="shared" si="0"/>
        <v>6071744.0132717937</v>
      </c>
      <c r="K6" s="129">
        <f t="shared" si="1"/>
        <v>6.3495229429813413</v>
      </c>
      <c r="L6" s="71">
        <f>K6/$G$16</f>
        <v>1.1038160378349724</v>
      </c>
      <c r="M6" s="71">
        <f t="shared" si="3"/>
        <v>0.11381817882649882</v>
      </c>
      <c r="N6" s="71">
        <f t="shared" si="4"/>
        <v>0.84602890028851752</v>
      </c>
      <c r="O6" s="170">
        <f t="shared" si="2"/>
        <v>180.85930924654875</v>
      </c>
      <c r="P6" s="72"/>
    </row>
    <row r="7" spans="1:20" x14ac:dyDescent="0.25">
      <c r="A7" s="69" t="s">
        <v>67</v>
      </c>
      <c r="B7" s="279">
        <v>902</v>
      </c>
      <c r="C7" s="280" t="s">
        <v>22</v>
      </c>
      <c r="D7" s="281" t="s">
        <v>24</v>
      </c>
      <c r="E7" s="280" t="s">
        <v>65</v>
      </c>
      <c r="F7" s="293">
        <v>6542156.1233463949</v>
      </c>
      <c r="G7" s="293">
        <v>1015645.783678341</v>
      </c>
      <c r="H7" s="294">
        <v>1072036.1299999999</v>
      </c>
      <c r="I7" s="295">
        <v>5810.3899999999967</v>
      </c>
      <c r="J7" s="293">
        <f t="shared" si="0"/>
        <v>5526510.3396680541</v>
      </c>
      <c r="K7" s="129">
        <f t="shared" si="1"/>
        <v>5.1551530634215235</v>
      </c>
      <c r="L7" s="71">
        <f>K7/$G$16</f>
        <v>0.89618396216502771</v>
      </c>
      <c r="M7" s="71">
        <f t="shared" si="3"/>
        <v>0.15524633844397243</v>
      </c>
      <c r="N7" s="71">
        <f t="shared" si="4"/>
        <v>1.1539710997114823</v>
      </c>
      <c r="O7" s="170">
        <f t="shared" si="2"/>
        <v>184.50330012271129</v>
      </c>
      <c r="P7" s="117"/>
    </row>
    <row r="8" spans="1:20" x14ac:dyDescent="0.25">
      <c r="A8" s="69" t="s">
        <v>67</v>
      </c>
      <c r="B8" s="279">
        <v>901</v>
      </c>
      <c r="C8" s="280" t="s">
        <v>21</v>
      </c>
      <c r="D8" s="281" t="s">
        <v>24</v>
      </c>
      <c r="E8" s="280" t="s">
        <v>66</v>
      </c>
      <c r="F8" s="293">
        <v>7644614.0959854713</v>
      </c>
      <c r="G8" s="293">
        <v>805873.41881505179</v>
      </c>
      <c r="H8" s="294">
        <v>988182</v>
      </c>
      <c r="I8" s="295">
        <v>5901.8500000000031</v>
      </c>
      <c r="J8" s="293">
        <f t="shared" si="0"/>
        <v>6838740.6771704191</v>
      </c>
      <c r="K8" s="129">
        <f t="shared" si="1"/>
        <v>6.9205274708205771</v>
      </c>
      <c r="L8" s="71">
        <f>K8/$G$17</f>
        <v>1.0132560348314206</v>
      </c>
      <c r="M8" s="71">
        <f t="shared" si="3"/>
        <v>0.10541714842587697</v>
      </c>
      <c r="N8" s="71">
        <f t="shared" si="4"/>
        <v>0.92201672459067752</v>
      </c>
      <c r="O8" s="170">
        <f t="shared" si="2"/>
        <v>167.43597346594703</v>
      </c>
      <c r="P8" s="117"/>
    </row>
    <row r="9" spans="1:20" ht="15.75" thickBot="1" x14ac:dyDescent="0.3">
      <c r="A9" s="73" t="s">
        <v>67</v>
      </c>
      <c r="B9" s="296">
        <v>902</v>
      </c>
      <c r="C9" s="120" t="s">
        <v>22</v>
      </c>
      <c r="D9" s="75" t="s">
        <v>24</v>
      </c>
      <c r="E9" s="120" t="s">
        <v>66</v>
      </c>
      <c r="F9" s="121">
        <v>7302852.6169954585</v>
      </c>
      <c r="G9" s="121">
        <v>900071.52889025258</v>
      </c>
      <c r="H9" s="122">
        <v>950045</v>
      </c>
      <c r="I9" s="123">
        <v>6489.2899999999945</v>
      </c>
      <c r="J9" s="121">
        <f t="shared" si="0"/>
        <v>6402781.0881052054</v>
      </c>
      <c r="K9" s="297">
        <f t="shared" si="1"/>
        <v>6.7394503293056705</v>
      </c>
      <c r="L9" s="79">
        <f>K9/$G$17</f>
        <v>0.98674396516857932</v>
      </c>
      <c r="M9" s="79">
        <f t="shared" si="3"/>
        <v>0.12324930764665497</v>
      </c>
      <c r="N9" s="79">
        <f t="shared" si="4"/>
        <v>1.0779832754093224</v>
      </c>
      <c r="O9" s="278">
        <f t="shared" si="2"/>
        <v>146.40199467121994</v>
      </c>
      <c r="P9" s="125"/>
      <c r="Q9" s="2"/>
      <c r="S9" s="2"/>
      <c r="T9" s="2"/>
    </row>
    <row r="10" spans="1:20" ht="15.75" thickTop="1" x14ac:dyDescent="0.25">
      <c r="A10" s="21"/>
      <c r="B10" s="172"/>
      <c r="C10" s="22"/>
      <c r="D10" s="21"/>
      <c r="E10" s="21"/>
      <c r="F10" s="24"/>
      <c r="G10" s="24"/>
      <c r="H10" s="24"/>
      <c r="I10" s="24"/>
      <c r="J10" s="24"/>
      <c r="K10" s="25"/>
      <c r="L10" s="71"/>
      <c r="M10" s="71"/>
      <c r="N10" s="71"/>
      <c r="O10" s="132"/>
      <c r="P10" s="21"/>
      <c r="Q10" s="8"/>
      <c r="R10" s="9"/>
      <c r="S10" s="8"/>
      <c r="T10" s="10"/>
    </row>
    <row r="11" spans="1:20" x14ac:dyDescent="0.25">
      <c r="A11" s="21"/>
      <c r="B11" s="279"/>
      <c r="C11" s="280"/>
      <c r="D11" s="281"/>
      <c r="E11" s="21"/>
      <c r="F11" s="24"/>
      <c r="G11" s="24"/>
      <c r="H11" s="24"/>
      <c r="I11" s="24"/>
      <c r="J11" s="24"/>
      <c r="K11" s="25"/>
      <c r="L11" s="71"/>
      <c r="M11" s="71"/>
      <c r="N11" s="71"/>
      <c r="O11" s="132"/>
      <c r="P11" s="21"/>
      <c r="Q11" s="8"/>
      <c r="R11" s="9"/>
      <c r="S11" s="8"/>
      <c r="T11" s="10"/>
    </row>
    <row r="12" spans="1:20" x14ac:dyDescent="0.25">
      <c r="A12" s="21"/>
      <c r="B12" s="21"/>
      <c r="C12" s="21"/>
      <c r="D12" s="21"/>
      <c r="E12" s="21"/>
      <c r="F12" s="21"/>
      <c r="G12" s="174"/>
      <c r="H12" s="21"/>
      <c r="I12" s="21"/>
      <c r="J12" s="21"/>
      <c r="K12" s="21"/>
      <c r="L12" s="21"/>
      <c r="M12" s="71"/>
      <c r="N12" s="71"/>
      <c r="O12" s="21"/>
      <c r="P12" s="21"/>
      <c r="Q12" s="8"/>
      <c r="R12" s="9"/>
      <c r="S12" s="8"/>
      <c r="T12" s="10"/>
    </row>
    <row r="13" spans="1:20" ht="15.75" thickBot="1" x14ac:dyDescent="0.3">
      <c r="A13" s="21"/>
      <c r="B13" s="21"/>
      <c r="C13" s="21"/>
      <c r="D13" s="21"/>
      <c r="E13" s="268" t="s">
        <v>113</v>
      </c>
      <c r="F13" s="268"/>
      <c r="G13" s="268"/>
      <c r="H13" s="268"/>
      <c r="I13" s="268"/>
      <c r="J13" s="268"/>
      <c r="K13" s="268"/>
      <c r="L13" s="21"/>
      <c r="M13" s="71"/>
      <c r="N13" s="71"/>
      <c r="O13" s="21"/>
      <c r="P13" s="21"/>
      <c r="Q13" s="8"/>
      <c r="R13" s="9"/>
      <c r="S13" s="8"/>
      <c r="T13" s="10"/>
    </row>
    <row r="14" spans="1:20" ht="36" x14ac:dyDescent="0.25">
      <c r="A14" s="21"/>
      <c r="B14" s="21"/>
      <c r="C14" s="21"/>
      <c r="D14" s="21"/>
      <c r="E14" s="82" t="s">
        <v>63</v>
      </c>
      <c r="F14" s="126" t="s">
        <v>44</v>
      </c>
      <c r="G14" s="127" t="s">
        <v>45</v>
      </c>
      <c r="H14" s="127" t="s">
        <v>46</v>
      </c>
      <c r="I14" s="127" t="s">
        <v>47</v>
      </c>
      <c r="J14" s="128" t="s">
        <v>48</v>
      </c>
      <c r="K14" s="85" t="s">
        <v>62</v>
      </c>
      <c r="L14" s="21"/>
      <c r="M14" s="71"/>
      <c r="N14" s="71"/>
      <c r="O14" s="21"/>
      <c r="P14" s="21"/>
      <c r="Q14" s="8"/>
      <c r="R14" s="9"/>
      <c r="S14" s="8"/>
    </row>
    <row r="15" spans="1:20" x14ac:dyDescent="0.25">
      <c r="A15" s="21"/>
      <c r="B15" s="21"/>
      <c r="C15" s="21"/>
      <c r="D15" s="21"/>
      <c r="E15" s="86">
        <f>COUNTIF($E$4:$E$9, "Weekdays")</f>
        <v>2</v>
      </c>
      <c r="F15" s="153" t="s">
        <v>33</v>
      </c>
      <c r="G15" s="154">
        <f>AVERAGEIF($E$4:$E$9,"Weekdays",K4:K9)</f>
        <v>5.3713693313549573</v>
      </c>
      <c r="H15" s="155">
        <f>G15*1.2</f>
        <v>6.445643197625949</v>
      </c>
      <c r="I15" s="156">
        <f>G15*1.35</f>
        <v>7.2513485973291925</v>
      </c>
      <c r="J15" s="157">
        <f>G15*1.6</f>
        <v>8.5941909301679313</v>
      </c>
      <c r="K15" s="92">
        <f>+SUMIF($E$4:$E$9,"Weekdays",$J$4:$J$9)/SUMIF($E$4:$E$9,"Weekdays",$H$4:$H$9)</f>
        <v>5.2035071782436875</v>
      </c>
      <c r="L15" s="21"/>
      <c r="M15" s="71"/>
      <c r="N15" s="71"/>
      <c r="O15" s="21"/>
      <c r="P15" s="21"/>
    </row>
    <row r="16" spans="1:20" x14ac:dyDescent="0.25">
      <c r="A16" s="21"/>
      <c r="B16" s="21"/>
      <c r="C16" s="21"/>
      <c r="D16" s="21"/>
      <c r="E16" s="86">
        <f>COUNTIF($E$4:$E$9, "Saturdays")</f>
        <v>2</v>
      </c>
      <c r="F16" s="153" t="s">
        <v>65</v>
      </c>
      <c r="G16" s="154">
        <f>AVERAGEIF($E$4:$E$9,"Saturdays",K4:K9)</f>
        <v>5.752338003201432</v>
      </c>
      <c r="H16" s="155">
        <f>G16*1.2</f>
        <v>6.9028056038417178</v>
      </c>
      <c r="I16" s="156">
        <f>G16*1.35</f>
        <v>7.7656563043219338</v>
      </c>
      <c r="J16" s="157">
        <f>G16*1.6</f>
        <v>9.2037408051222922</v>
      </c>
      <c r="K16" s="92">
        <f>+SUMIF($E$4:$E$9,"saturdays",$J$4:$J$9)/SUMIF($E$4:$E$9,"saturdays",$H$4:$H$9)</f>
        <v>5.7182479063957485</v>
      </c>
      <c r="L16" s="21"/>
      <c r="M16" s="71"/>
      <c r="N16" s="71"/>
      <c r="O16" s="21"/>
      <c r="P16" s="21"/>
    </row>
    <row r="17" spans="1:16" ht="15.75" thickBot="1" x14ac:dyDescent="0.3">
      <c r="A17" s="21"/>
      <c r="B17" s="21"/>
      <c r="C17" s="21"/>
      <c r="D17" s="21"/>
      <c r="E17" s="98">
        <f>COUNTIF($E$4:$E$9, "Sundays")</f>
        <v>2</v>
      </c>
      <c r="F17" s="153" t="s">
        <v>66</v>
      </c>
      <c r="G17" s="158">
        <f>AVERAGEIF($E$4:$E$9,"Sundays",K4:K9)</f>
        <v>6.8299889000631238</v>
      </c>
      <c r="H17" s="155">
        <f>G17*1.2</f>
        <v>8.1959866800757482</v>
      </c>
      <c r="I17" s="156">
        <f>G17*1.35</f>
        <v>9.2204850150852184</v>
      </c>
      <c r="J17" s="157">
        <f>G17*1.6</f>
        <v>10.927982240100999</v>
      </c>
      <c r="K17" s="92">
        <f>+SUMIF($E$4:$E$9,"Sundays",$J$4:$J$9)/SUMIF($E$4:$E$9,"Sundays",$H$4:$H$9)</f>
        <v>6.8317703577938103</v>
      </c>
      <c r="L17" s="21"/>
      <c r="M17" s="71"/>
      <c r="N17" s="71"/>
      <c r="O17" s="21"/>
      <c r="P17" s="21"/>
    </row>
    <row r="18" spans="1:16" ht="15.75" thickBot="1" x14ac:dyDescent="0.3">
      <c r="A18" s="21"/>
      <c r="B18" s="21"/>
      <c r="C18" s="21"/>
      <c r="D18" s="21"/>
      <c r="E18" s="21"/>
      <c r="F18" s="159" t="s">
        <v>61</v>
      </c>
      <c r="G18" s="105">
        <v>70</v>
      </c>
      <c r="H18" s="106"/>
      <c r="I18" s="106"/>
      <c r="J18" s="107"/>
      <c r="K18" s="108">
        <f>+SUM($J$4:$J$9)/SUM($H$4:$H$9)</f>
        <v>5.4881382832297589</v>
      </c>
      <c r="L18" s="21"/>
      <c r="M18" s="71"/>
      <c r="N18" s="71"/>
      <c r="O18" s="21"/>
      <c r="P18" s="21"/>
    </row>
    <row r="19" spans="1:16" ht="15.75" thickBot="1" x14ac:dyDescent="0.3">
      <c r="E19" s="270" t="s">
        <v>112</v>
      </c>
      <c r="F19" s="270"/>
      <c r="G19" s="270"/>
      <c r="H19" s="270"/>
      <c r="I19" s="270"/>
      <c r="J19" s="270"/>
      <c r="K19" s="270"/>
      <c r="M19" s="71"/>
      <c r="N19" s="71"/>
    </row>
    <row r="20" spans="1:16" ht="36" x14ac:dyDescent="0.25">
      <c r="E20" s="248"/>
      <c r="F20" s="82" t="s">
        <v>44</v>
      </c>
      <c r="G20" s="83" t="s">
        <v>45</v>
      </c>
      <c r="H20" s="83" t="s">
        <v>46</v>
      </c>
      <c r="I20" s="83" t="s">
        <v>47</v>
      </c>
      <c r="J20" s="84" t="s">
        <v>48</v>
      </c>
      <c r="K20" s="85" t="s">
        <v>62</v>
      </c>
      <c r="M20" s="71"/>
      <c r="N20" s="71"/>
    </row>
    <row r="21" spans="1:16" x14ac:dyDescent="0.25">
      <c r="E21" s="249"/>
      <c r="F21" s="87" t="s">
        <v>33</v>
      </c>
      <c r="G21" s="229">
        <f>AVERAGEIF($E$4:$E$99,"Weekdays",$M$4:$M$99)</f>
        <v>0.14697755717131455</v>
      </c>
      <c r="H21" s="230">
        <f>G21*0.8</f>
        <v>0.11758204573705165</v>
      </c>
      <c r="I21" s="231">
        <f>G21*0.65</f>
        <v>9.5535412161354458E-2</v>
      </c>
      <c r="J21" s="232">
        <f>G21*0.4</f>
        <v>5.8791022868525826E-2</v>
      </c>
      <c r="K21" s="237">
        <f>+SUMIF($E$4:$E$99,"Weekdays",$G$4:$G$99)/SUMIF($E$4:$E$99,"Weekdays",$F$4:$F$99)</f>
        <v>0.14623773254763001</v>
      </c>
      <c r="M21" s="71"/>
      <c r="N21" s="71"/>
    </row>
    <row r="22" spans="1:16" x14ac:dyDescent="0.25">
      <c r="E22" s="249"/>
      <c r="F22" s="93" t="s">
        <v>65</v>
      </c>
      <c r="G22" s="233">
        <f>AVERAGEIF($E$4:$E$99,"Saturdays",$M$4:$M$99)</f>
        <v>0.13453225863523563</v>
      </c>
      <c r="H22" s="234">
        <f>G22*0.8</f>
        <v>0.10762580690818851</v>
      </c>
      <c r="I22" s="235">
        <f>G22*0.65</f>
        <v>8.7445968112903158E-2</v>
      </c>
      <c r="J22" s="236">
        <f>G22*0.4</f>
        <v>5.3812903454094257E-2</v>
      </c>
      <c r="K22" s="237">
        <f>+SUMIF($E$4:$E$99,"Saturdays",$G$4:$G$99)/SUMIF($E$4:$E$99,"Saturdays",$F$4:$F$99)</f>
        <v>0.13405372198061943</v>
      </c>
      <c r="M22" s="71"/>
      <c r="N22" s="71"/>
    </row>
    <row r="23" spans="1:16" x14ac:dyDescent="0.25">
      <c r="E23" s="249"/>
      <c r="F23" s="99" t="s">
        <v>66</v>
      </c>
      <c r="G23" s="244">
        <f>AVERAGEIF($E$4:$E$99,"Sundays",$M$4:$M$99)</f>
        <v>0.11433322803626597</v>
      </c>
      <c r="H23" s="245">
        <f>G23*0.8</f>
        <v>9.1466582429012788E-2</v>
      </c>
      <c r="I23" s="246">
        <f>G23*0.65</f>
        <v>7.431659822357288E-2</v>
      </c>
      <c r="J23" s="247">
        <f>G23*0.4</f>
        <v>4.5733291214506394E-2</v>
      </c>
      <c r="K23" s="237">
        <f>+SUMIF($E$4:$E$99,"Sundays",$G$4:$G$99)/SUMIF($E$4:$E$99,"Sundays",$F$4:$F$99)</f>
        <v>0.11412936924113026</v>
      </c>
      <c r="M23" s="71"/>
      <c r="N23" s="71"/>
    </row>
    <row r="24" spans="1:16" ht="15.75" thickBot="1" x14ac:dyDescent="0.3">
      <c r="E24" s="56"/>
      <c r="F24" s="145" t="s">
        <v>115</v>
      </c>
      <c r="G24" s="239">
        <f>AVERAGE(M:M)</f>
        <v>0.13194768128093873</v>
      </c>
      <c r="H24" s="240">
        <f>G24*0.8</f>
        <v>0.10555814502475099</v>
      </c>
      <c r="I24" s="241">
        <f>G24*0.65</f>
        <v>8.5765992832610174E-2</v>
      </c>
      <c r="J24" s="242">
        <f>G24*0.4</f>
        <v>5.2779072512375493E-2</v>
      </c>
      <c r="K24" s="238">
        <f>+SUM($G$4:$G$99)/SUM($F$4:$F$99)</f>
        <v>0.13940417449078757</v>
      </c>
      <c r="M24" s="71"/>
      <c r="N24" s="71"/>
    </row>
    <row r="25" spans="1:16" x14ac:dyDescent="0.25">
      <c r="M25" s="71"/>
      <c r="N25" s="71"/>
    </row>
    <row r="26" spans="1:16" x14ac:dyDescent="0.25">
      <c r="M26" s="71"/>
      <c r="N26" s="71"/>
    </row>
    <row r="27" spans="1:16" x14ac:dyDescent="0.25">
      <c r="M27" s="71"/>
      <c r="N27" s="71"/>
    </row>
    <row r="28" spans="1:16" x14ac:dyDescent="0.25">
      <c r="M28" s="71"/>
      <c r="N28" s="71"/>
    </row>
    <row r="29" spans="1:16" x14ac:dyDescent="0.25">
      <c r="M29" s="71"/>
      <c r="N29" s="71"/>
    </row>
    <row r="30" spans="1:16" x14ac:dyDescent="0.25">
      <c r="M30" s="71"/>
      <c r="N30" s="71"/>
    </row>
    <row r="31" spans="1:16" x14ac:dyDescent="0.25">
      <c r="M31" s="71"/>
      <c r="N31" s="71"/>
    </row>
    <row r="32" spans="1:16" x14ac:dyDescent="0.25">
      <c r="M32" s="71"/>
      <c r="N32" s="71"/>
    </row>
    <row r="33" spans="13:14" x14ac:dyDescent="0.25">
      <c r="M33" s="71"/>
      <c r="N33" s="71"/>
    </row>
    <row r="34" spans="13:14" x14ac:dyDescent="0.25">
      <c r="M34" s="71"/>
      <c r="N34" s="71"/>
    </row>
    <row r="35" spans="13:14" x14ac:dyDescent="0.25">
      <c r="M35" s="71"/>
      <c r="N35" s="71"/>
    </row>
    <row r="36" spans="13:14" x14ac:dyDescent="0.25">
      <c r="M36" s="71"/>
      <c r="N36" s="71"/>
    </row>
    <row r="37" spans="13:14" x14ac:dyDescent="0.25">
      <c r="M37" s="71"/>
      <c r="N37" s="71"/>
    </row>
    <row r="38" spans="13:14" x14ac:dyDescent="0.25">
      <c r="M38" s="71"/>
      <c r="N38" s="71"/>
    </row>
    <row r="39" spans="13:14" x14ac:dyDescent="0.25">
      <c r="M39" s="71"/>
      <c r="N39" s="71"/>
    </row>
    <row r="40" spans="13:14" x14ac:dyDescent="0.25">
      <c r="M40" s="71"/>
      <c r="N40" s="71"/>
    </row>
    <row r="41" spans="13:14" x14ac:dyDescent="0.25">
      <c r="M41" s="71"/>
      <c r="N41" s="71"/>
    </row>
    <row r="42" spans="13:14" x14ac:dyDescent="0.25">
      <c r="M42" s="71"/>
      <c r="N42" s="71"/>
    </row>
    <row r="43" spans="13:14" x14ac:dyDescent="0.25">
      <c r="M43" s="71"/>
      <c r="N43" s="71"/>
    </row>
    <row r="44" spans="13:14" x14ac:dyDescent="0.25">
      <c r="M44" s="71"/>
      <c r="N44" s="71"/>
    </row>
    <row r="45" spans="13:14" x14ac:dyDescent="0.25">
      <c r="M45" s="71"/>
      <c r="N45" s="71"/>
    </row>
    <row r="46" spans="13:14" x14ac:dyDescent="0.25">
      <c r="M46" s="71"/>
      <c r="N46" s="71"/>
    </row>
    <row r="47" spans="13:14" x14ac:dyDescent="0.25">
      <c r="M47" s="71"/>
      <c r="N47" s="71"/>
    </row>
    <row r="48" spans="13:14" x14ac:dyDescent="0.25">
      <c r="M48" s="71"/>
      <c r="N48" s="71"/>
    </row>
    <row r="49" spans="13:14" x14ac:dyDescent="0.25">
      <c r="M49" s="71"/>
      <c r="N49" s="71"/>
    </row>
    <row r="50" spans="13:14" x14ac:dyDescent="0.25">
      <c r="M50" s="71"/>
      <c r="N50" s="71"/>
    </row>
    <row r="51" spans="13:14" x14ac:dyDescent="0.25">
      <c r="M51" s="71"/>
      <c r="N51" s="71"/>
    </row>
    <row r="52" spans="13:14" x14ac:dyDescent="0.25">
      <c r="M52" s="71"/>
      <c r="N52" s="71"/>
    </row>
    <row r="53" spans="13:14" x14ac:dyDescent="0.25">
      <c r="M53" s="71"/>
      <c r="N53" s="71"/>
    </row>
    <row r="54" spans="13:14" x14ac:dyDescent="0.25">
      <c r="M54" s="71"/>
      <c r="N54" s="71"/>
    </row>
    <row r="55" spans="13:14" x14ac:dyDescent="0.25">
      <c r="M55" s="71"/>
      <c r="N55" s="71"/>
    </row>
    <row r="56" spans="13:14" x14ac:dyDescent="0.25">
      <c r="M56" s="71"/>
      <c r="N56" s="71"/>
    </row>
    <row r="57" spans="13:14" x14ac:dyDescent="0.25">
      <c r="M57" s="71"/>
      <c r="N57" s="71"/>
    </row>
    <row r="58" spans="13:14" x14ac:dyDescent="0.25">
      <c r="M58" s="71"/>
      <c r="N58" s="71"/>
    </row>
    <row r="59" spans="13:14" x14ac:dyDescent="0.25">
      <c r="M59" s="71"/>
      <c r="N59" s="71"/>
    </row>
    <row r="60" spans="13:14" x14ac:dyDescent="0.25">
      <c r="M60" s="71"/>
      <c r="N60" s="71"/>
    </row>
    <row r="61" spans="13:14" x14ac:dyDescent="0.25">
      <c r="M61" s="71"/>
      <c r="N61" s="71"/>
    </row>
    <row r="62" spans="13:14" x14ac:dyDescent="0.25">
      <c r="M62" s="71"/>
      <c r="N62" s="71"/>
    </row>
    <row r="63" spans="13:14" x14ac:dyDescent="0.25">
      <c r="M63" s="71"/>
      <c r="N63" s="71"/>
    </row>
    <row r="64" spans="13:14" x14ac:dyDescent="0.25">
      <c r="M64" s="71"/>
      <c r="N64" s="71"/>
    </row>
    <row r="65" spans="13:14" x14ac:dyDescent="0.25">
      <c r="M65" s="71"/>
      <c r="N65" s="71"/>
    </row>
    <row r="66" spans="13:14" x14ac:dyDescent="0.25">
      <c r="M66" s="71"/>
      <c r="N66" s="71"/>
    </row>
    <row r="67" spans="13:14" x14ac:dyDescent="0.25">
      <c r="M67" s="71"/>
      <c r="N67" s="71"/>
    </row>
    <row r="68" spans="13:14" x14ac:dyDescent="0.25">
      <c r="M68" s="71"/>
      <c r="N68" s="71"/>
    </row>
    <row r="69" spans="13:14" x14ac:dyDescent="0.25">
      <c r="M69" s="71"/>
      <c r="N69" s="71"/>
    </row>
    <row r="70" spans="13:14" x14ac:dyDescent="0.25">
      <c r="M70" s="71"/>
      <c r="N70" s="71"/>
    </row>
    <row r="71" spans="13:14" x14ac:dyDescent="0.25">
      <c r="M71" s="71"/>
      <c r="N71" s="71"/>
    </row>
    <row r="72" spans="13:14" x14ac:dyDescent="0.25">
      <c r="M72" s="71"/>
      <c r="N72" s="71"/>
    </row>
    <row r="73" spans="13:14" x14ac:dyDescent="0.25">
      <c r="M73" s="71"/>
      <c r="N73" s="71"/>
    </row>
    <row r="74" spans="13:14" x14ac:dyDescent="0.25">
      <c r="M74" s="71"/>
      <c r="N74" s="71"/>
    </row>
    <row r="75" spans="13:14" x14ac:dyDescent="0.25">
      <c r="M75" s="71"/>
      <c r="N75" s="71"/>
    </row>
    <row r="76" spans="13:14" x14ac:dyDescent="0.25">
      <c r="M76" s="71"/>
      <c r="N76" s="71"/>
    </row>
    <row r="77" spans="13:14" x14ac:dyDescent="0.25">
      <c r="M77" s="71"/>
      <c r="N77" s="71"/>
    </row>
    <row r="78" spans="13:14" x14ac:dyDescent="0.25">
      <c r="M78" s="71"/>
      <c r="N78" s="71"/>
    </row>
    <row r="79" spans="13:14" x14ac:dyDescent="0.25">
      <c r="M79" s="71"/>
      <c r="N79" s="71"/>
    </row>
    <row r="80" spans="13:14" x14ac:dyDescent="0.25">
      <c r="M80" s="71"/>
      <c r="N80" s="71"/>
    </row>
    <row r="81" spans="13:14" x14ac:dyDescent="0.25">
      <c r="M81" s="71"/>
      <c r="N81" s="71"/>
    </row>
    <row r="82" spans="13:14" x14ac:dyDescent="0.25">
      <c r="M82" s="71"/>
      <c r="N82" s="71"/>
    </row>
    <row r="83" spans="13:14" x14ac:dyDescent="0.25">
      <c r="M83" s="71"/>
      <c r="N83" s="71"/>
    </row>
    <row r="84" spans="13:14" x14ac:dyDescent="0.25">
      <c r="M84" s="71"/>
      <c r="N84" s="71"/>
    </row>
    <row r="85" spans="13:14" x14ac:dyDescent="0.25">
      <c r="M85" s="71"/>
      <c r="N85" s="71"/>
    </row>
    <row r="86" spans="13:14" x14ac:dyDescent="0.25">
      <c r="M86" s="71"/>
      <c r="N86" s="71"/>
    </row>
    <row r="87" spans="13:14" x14ac:dyDescent="0.25">
      <c r="M87" s="71"/>
      <c r="N87" s="71"/>
    </row>
    <row r="88" spans="13:14" x14ac:dyDescent="0.25">
      <c r="M88" s="71"/>
      <c r="N88" s="71"/>
    </row>
    <row r="89" spans="13:14" x14ac:dyDescent="0.25">
      <c r="M89" s="71"/>
      <c r="N89" s="71"/>
    </row>
    <row r="90" spans="13:14" x14ac:dyDescent="0.25">
      <c r="M90" s="71"/>
      <c r="N90" s="71"/>
    </row>
    <row r="91" spans="13:14" x14ac:dyDescent="0.25">
      <c r="M91" s="71"/>
      <c r="N91" s="71"/>
    </row>
    <row r="92" spans="13:14" x14ac:dyDescent="0.25">
      <c r="M92" s="71"/>
      <c r="N92" s="71"/>
    </row>
    <row r="93" spans="13:14" x14ac:dyDescent="0.25">
      <c r="M93" s="71"/>
      <c r="N93" s="71"/>
    </row>
    <row r="94" spans="13:14" x14ac:dyDescent="0.25">
      <c r="M94" s="71"/>
      <c r="N94" s="71"/>
    </row>
    <row r="95" spans="13:14" x14ac:dyDescent="0.25">
      <c r="M95" s="71"/>
      <c r="N95" s="71"/>
    </row>
    <row r="96" spans="13:14" x14ac:dyDescent="0.25">
      <c r="M96" s="71"/>
      <c r="N96" s="71"/>
    </row>
    <row r="97" spans="13:14" x14ac:dyDescent="0.25">
      <c r="M97" s="71"/>
      <c r="N97" s="71"/>
    </row>
    <row r="98" spans="13:14" x14ac:dyDescent="0.25">
      <c r="M98" s="71"/>
      <c r="N98" s="71"/>
    </row>
    <row r="99" spans="13:14" x14ac:dyDescent="0.25">
      <c r="M99" s="71"/>
      <c r="N99" s="71"/>
    </row>
  </sheetData>
  <sortState xmlns:xlrd2="http://schemas.microsoft.com/office/spreadsheetml/2017/richdata2" ref="A4:P9">
    <sortCondition ref="E4:E9" customList="Weekday,Wk,Saturday,Sat,Sunday,Sun,Sunday/Holiday,Sunday / Holiday,Reduced"/>
    <sortCondition ref="C4:C9"/>
  </sortState>
  <mergeCells count="3">
    <mergeCell ref="A2:O2"/>
    <mergeCell ref="E13:K13"/>
    <mergeCell ref="E19:K19"/>
  </mergeCells>
  <conditionalFormatting sqref="L1">
    <cfRule type="cellIs" dxfId="15" priority="12" operator="greaterThan">
      <formula>1.6</formula>
    </cfRule>
  </conditionalFormatting>
  <conditionalFormatting sqref="O4:O9">
    <cfRule type="cellIs" dxfId="14" priority="27" operator="lessThan">
      <formula>$G$18</formula>
    </cfRule>
  </conditionalFormatting>
  <conditionalFormatting sqref="O9">
    <cfRule type="cellIs" dxfId="13" priority="4" operator="lessThan">
      <formula>$G$22</formula>
    </cfRule>
  </conditionalFormatting>
  <conditionalFormatting sqref="N4:N9">
    <cfRule type="cellIs" dxfId="12" priority="1" operator="lessThan">
      <formula>0.4</formula>
    </cfRule>
    <cfRule type="cellIs" dxfId="11" priority="2" operator="between">
      <formula>0.65</formula>
      <formula>0.4</formula>
    </cfRule>
    <cfRule type="cellIs" dxfId="10" priority="3" operator="between">
      <formula>0.8</formula>
      <formula>0.65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51C5-C99A-4EE2-AB84-D695D8BC4C22}">
  <dimension ref="A1:N13"/>
  <sheetViews>
    <sheetView workbookViewId="0">
      <selection activeCell="M11" sqref="M11"/>
    </sheetView>
  </sheetViews>
  <sheetFormatPr defaultRowHeight="15" x14ac:dyDescent="0.25"/>
  <cols>
    <col min="1" max="1" width="26.28515625" customWidth="1"/>
    <col min="2" max="2" width="9.5703125" customWidth="1"/>
    <col min="3" max="3" width="9.5703125" bestFit="1" customWidth="1"/>
    <col min="4" max="4" width="14.28515625" customWidth="1"/>
    <col min="5" max="5" width="10.7109375" customWidth="1"/>
    <col min="6" max="6" width="13.140625" bestFit="1" customWidth="1"/>
    <col min="7" max="7" width="15.28515625" bestFit="1" customWidth="1"/>
    <col min="8" max="8" width="13.7109375" bestFit="1" customWidth="1"/>
    <col min="9" max="9" width="11.7109375" customWidth="1"/>
    <col min="10" max="10" width="12.85546875" customWidth="1"/>
    <col min="11" max="11" width="11.7109375" customWidth="1"/>
    <col min="12" max="12" width="14.140625" customWidth="1"/>
    <col min="13" max="13" width="12.85546875" customWidth="1"/>
    <col min="14" max="14" width="35.7109375" customWidth="1"/>
  </cols>
  <sheetData>
    <row r="1" spans="1:14" ht="22.5" x14ac:dyDescent="0.45">
      <c r="A1" s="13" t="s">
        <v>56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7.5" thickBot="1" x14ac:dyDescent="0.75">
      <c r="A2" s="266" t="s">
        <v>88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47"/>
    </row>
    <row r="3" spans="1:14" s="6" customFormat="1" ht="45" x14ac:dyDescent="0.25">
      <c r="A3" s="57" t="s">
        <v>8</v>
      </c>
      <c r="B3" s="58" t="s">
        <v>77</v>
      </c>
      <c r="C3" s="49" t="s">
        <v>78</v>
      </c>
      <c r="D3" s="49" t="s">
        <v>0</v>
      </c>
      <c r="E3" s="51" t="s">
        <v>1</v>
      </c>
      <c r="F3" s="51" t="s">
        <v>2</v>
      </c>
      <c r="G3" s="51" t="s">
        <v>38</v>
      </c>
      <c r="H3" s="52" t="s">
        <v>40</v>
      </c>
      <c r="I3" s="52" t="s">
        <v>41</v>
      </c>
      <c r="J3" s="53" t="s">
        <v>39</v>
      </c>
      <c r="K3" s="54" t="s">
        <v>14</v>
      </c>
      <c r="L3" s="54" t="s">
        <v>75</v>
      </c>
      <c r="M3" s="59" t="s">
        <v>42</v>
      </c>
      <c r="N3" s="57" t="s">
        <v>43</v>
      </c>
    </row>
    <row r="4" spans="1:14" ht="15.75" thickBot="1" x14ac:dyDescent="0.3">
      <c r="A4" s="175" t="s">
        <v>67</v>
      </c>
      <c r="B4" s="176">
        <v>888</v>
      </c>
      <c r="C4" s="176" t="s">
        <v>87</v>
      </c>
      <c r="D4" s="175" t="s">
        <v>25</v>
      </c>
      <c r="E4" s="176" t="s">
        <v>33</v>
      </c>
      <c r="F4" s="177">
        <v>11369678.185371391</v>
      </c>
      <c r="G4" s="177">
        <v>315410.78614680428</v>
      </c>
      <c r="H4" s="178">
        <v>94806</v>
      </c>
      <c r="I4" s="179">
        <v>1092.4300000000042</v>
      </c>
      <c r="J4" s="177">
        <f>F4-G4</f>
        <v>11054267.399224587</v>
      </c>
      <c r="K4" s="180">
        <f>J4/H4</f>
        <v>116.59881652242038</v>
      </c>
      <c r="L4" s="181">
        <v>1</v>
      </c>
      <c r="M4" s="182">
        <f>H4/I4</f>
        <v>86.784507931858002</v>
      </c>
      <c r="N4" s="183"/>
    </row>
    <row r="5" spans="1:14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5.75" thickBot="1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36" x14ac:dyDescent="0.25">
      <c r="A9" s="21"/>
      <c r="B9" s="21"/>
      <c r="C9" s="21"/>
      <c r="D9" s="21"/>
      <c r="E9" s="21"/>
      <c r="F9" s="82" t="s">
        <v>63</v>
      </c>
      <c r="G9" s="126" t="s">
        <v>44</v>
      </c>
      <c r="H9" s="127" t="s">
        <v>45</v>
      </c>
      <c r="I9" s="127" t="s">
        <v>46</v>
      </c>
      <c r="J9" s="127" t="s">
        <v>47</v>
      </c>
      <c r="K9" s="128" t="s">
        <v>48</v>
      </c>
      <c r="L9" s="85" t="s">
        <v>62</v>
      </c>
      <c r="M9" s="21"/>
      <c r="N9" s="21"/>
    </row>
    <row r="10" spans="1:14" x14ac:dyDescent="0.25">
      <c r="A10" s="21"/>
      <c r="B10" s="21"/>
      <c r="C10" s="21"/>
      <c r="D10" s="21"/>
      <c r="E10" s="21"/>
      <c r="F10" s="86">
        <f>COUNTIF($E$4, "Weekdays")</f>
        <v>1</v>
      </c>
      <c r="G10" s="153" t="s">
        <v>6</v>
      </c>
      <c r="H10" s="154">
        <f>AVERAGEIF($E$4,"Weekdays",K4)</f>
        <v>116.59881652242038</v>
      </c>
      <c r="I10" s="155">
        <f>H10*1.2</f>
        <v>139.91857982690445</v>
      </c>
      <c r="J10" s="156">
        <f>H10*1.35</f>
        <v>157.40840230526751</v>
      </c>
      <c r="K10" s="157">
        <f>H10*1.6</f>
        <v>186.55810643587262</v>
      </c>
      <c r="L10" s="92">
        <f>+SUMIF($E$4,"Weekdays",$J$4)/SUMIF($E$4,"Weekdays",$H$4)</f>
        <v>116.59881652242038</v>
      </c>
      <c r="M10" s="21"/>
      <c r="N10" s="21"/>
    </row>
    <row r="11" spans="1:14" x14ac:dyDescent="0.25">
      <c r="A11" s="21"/>
      <c r="B11" s="21"/>
      <c r="C11" s="21"/>
      <c r="D11" s="21"/>
      <c r="E11" s="21"/>
      <c r="F11" s="86">
        <f>COUNTIF($E$4, "Saturdays")</f>
        <v>0</v>
      </c>
      <c r="G11" s="153" t="s">
        <v>11</v>
      </c>
      <c r="H11" s="154" t="e">
        <f>AVERAGEIF($E$4:$E$8,"Saturdays",K3:K7)</f>
        <v>#DIV/0!</v>
      </c>
      <c r="I11" s="155" t="e">
        <f>H11*1.2</f>
        <v>#DIV/0!</v>
      </c>
      <c r="J11" s="156" t="e">
        <f>H11*1.35</f>
        <v>#DIV/0!</v>
      </c>
      <c r="K11" s="157" t="e">
        <f>H11*1.6</f>
        <v>#DIV/0!</v>
      </c>
      <c r="L11" s="92" t="e">
        <f>+SUMIF($E$4,"saturdays",$J$4)/SUMIF($E$4,"saturdays",$H$4)</f>
        <v>#DIV/0!</v>
      </c>
      <c r="M11" s="21"/>
      <c r="N11" s="21"/>
    </row>
    <row r="12" spans="1:14" ht="15.75" thickBot="1" x14ac:dyDescent="0.3">
      <c r="A12" s="21"/>
      <c r="B12" s="21"/>
      <c r="C12" s="21"/>
      <c r="D12" s="21"/>
      <c r="E12" s="21"/>
      <c r="F12" s="98">
        <f>COUNTIF($E$4, "Sundays")</f>
        <v>0</v>
      </c>
      <c r="G12" s="184" t="s">
        <v>12</v>
      </c>
      <c r="H12" s="185" t="e">
        <f>AVERAGEIF($E$4:$E$8,"Sundays",K3:K7)</f>
        <v>#DIV/0!</v>
      </c>
      <c r="I12" s="186" t="e">
        <f>H12*1.2</f>
        <v>#DIV/0!</v>
      </c>
      <c r="J12" s="187" t="e">
        <f>H12*1.35</f>
        <v>#DIV/0!</v>
      </c>
      <c r="K12" s="188" t="e">
        <f>H12*1.6</f>
        <v>#DIV/0!</v>
      </c>
      <c r="L12" s="108" t="e">
        <f>+SUMIF($E$4,"Sundays",$J$4)/SUMIF($E$4,"Sundays",$H$4)</f>
        <v>#DIV/0!</v>
      </c>
      <c r="M12" s="21"/>
      <c r="N12" s="21"/>
    </row>
    <row r="13" spans="1:14" ht="15.75" thickBot="1" x14ac:dyDescent="0.3">
      <c r="A13" s="21"/>
      <c r="B13" s="21"/>
      <c r="C13" s="21"/>
      <c r="D13" s="21"/>
      <c r="E13" s="21"/>
      <c r="F13" s="21"/>
      <c r="G13" s="159" t="s">
        <v>61</v>
      </c>
      <c r="H13" s="105">
        <v>70</v>
      </c>
      <c r="I13" s="106"/>
      <c r="J13" s="106"/>
      <c r="K13" s="107"/>
      <c r="L13" s="108">
        <f>+SUM($J$4)/SUM($H$4)</f>
        <v>116.59881652242038</v>
      </c>
      <c r="M13" s="21"/>
      <c r="N13" s="21"/>
    </row>
  </sheetData>
  <mergeCells count="1">
    <mergeCell ref="A2:M2"/>
  </mergeCells>
  <conditionalFormatting sqref="L1">
    <cfRule type="cellIs" dxfId="51" priority="2" operator="greaterThan">
      <formula>1.6</formula>
    </cfRule>
  </conditionalFormatting>
  <conditionalFormatting sqref="M4">
    <cfRule type="cellIs" dxfId="50" priority="15" operator="lessThan">
      <formula>#REF!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D36E6-FDBF-4BB8-A6F8-7E72BCBE2BBB}">
  <sheetPr>
    <pageSetUpPr autoPageBreaks="0"/>
  </sheetPr>
  <dimension ref="A1:P97"/>
  <sheetViews>
    <sheetView zoomScaleNormal="100" workbookViewId="0">
      <selection activeCell="O12" sqref="O12"/>
    </sheetView>
  </sheetViews>
  <sheetFormatPr defaultRowHeight="15" x14ac:dyDescent="0.25"/>
  <cols>
    <col min="1" max="1" width="20.7109375" customWidth="1"/>
    <col min="2" max="2" width="9.7109375" customWidth="1"/>
    <col min="3" max="3" width="14" customWidth="1"/>
    <col min="4" max="4" width="13.7109375" customWidth="1"/>
    <col min="5" max="5" width="13.28515625" customWidth="1"/>
    <col min="6" max="8" width="12.42578125" customWidth="1"/>
    <col min="9" max="11" width="11.7109375" customWidth="1"/>
    <col min="12" max="12" width="14.28515625" bestFit="1" customWidth="1"/>
    <col min="13" max="14" width="14.140625" customWidth="1"/>
    <col min="15" max="15" width="13" customWidth="1"/>
    <col min="16" max="16" width="44.7109375" style="6" customWidth="1"/>
  </cols>
  <sheetData>
    <row r="1" spans="1:16" ht="22.5" x14ac:dyDescent="0.45">
      <c r="A1" s="13" t="s">
        <v>57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O1" s="14"/>
      <c r="P1" s="17"/>
    </row>
    <row r="2" spans="1:16" ht="37.5" thickBot="1" x14ac:dyDescent="0.75">
      <c r="A2" s="266" t="s">
        <v>109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1:16" s="6" customFormat="1" ht="75.75" thickBot="1" x14ac:dyDescent="0.3">
      <c r="A3" s="200" t="s">
        <v>8</v>
      </c>
      <c r="B3" s="309" t="s">
        <v>77</v>
      </c>
      <c r="C3" s="282" t="s">
        <v>90</v>
      </c>
      <c r="D3" s="283" t="s">
        <v>0</v>
      </c>
      <c r="E3" s="283" t="s">
        <v>91</v>
      </c>
      <c r="F3" s="284" t="s">
        <v>2</v>
      </c>
      <c r="G3" s="284" t="s">
        <v>38</v>
      </c>
      <c r="H3" s="284" t="s">
        <v>40</v>
      </c>
      <c r="I3" s="285" t="s">
        <v>86</v>
      </c>
      <c r="J3" s="285" t="s">
        <v>39</v>
      </c>
      <c r="K3" s="286" t="s">
        <v>14</v>
      </c>
      <c r="L3" s="287" t="s">
        <v>75</v>
      </c>
      <c r="M3" s="288" t="s">
        <v>112</v>
      </c>
      <c r="N3" s="288" t="s">
        <v>114</v>
      </c>
      <c r="O3" s="287" t="s">
        <v>42</v>
      </c>
      <c r="P3" s="289" t="s">
        <v>43</v>
      </c>
    </row>
    <row r="4" spans="1:16" ht="15.75" thickTop="1" x14ac:dyDescent="0.25">
      <c r="A4" s="60" t="s">
        <v>68</v>
      </c>
      <c r="B4" s="62"/>
      <c r="C4" s="310" t="s">
        <v>93</v>
      </c>
      <c r="D4" s="62" t="s">
        <v>94</v>
      </c>
      <c r="E4" s="62" t="s">
        <v>33</v>
      </c>
      <c r="F4" s="110">
        <v>801153.27456388855</v>
      </c>
      <c r="G4" s="110">
        <v>66918.87</v>
      </c>
      <c r="H4" s="134">
        <v>49463</v>
      </c>
      <c r="I4" s="112">
        <v>10075</v>
      </c>
      <c r="J4" s="311">
        <f t="shared" ref="J4:J16" si="0">+F4-G4</f>
        <v>734234.40456388856</v>
      </c>
      <c r="K4" s="65">
        <f t="shared" ref="K4:K16" si="1">J4/H4</f>
        <v>14.84411387428762</v>
      </c>
      <c r="L4" s="135">
        <f t="shared" ref="L4:L16" si="2">+IF(E4="Weekdays",K4/$G$26,IF(E4="Saturdays",K4/$G$27,IF(E4="Sundays",K4/$G$28,"NA")))</f>
        <v>0.46141940470222231</v>
      </c>
      <c r="M4" s="66">
        <f>(G4/F4)</f>
        <v>8.3528173852160298E-2</v>
      </c>
      <c r="N4" s="66">
        <f>+IF(E4="Weekdays",M4/$G$33,IF(E4="Saturdays",M4/$G$34,IF(E4="Sundays",M4/$G$35,"NA")))</f>
        <v>1.2678954612565938</v>
      </c>
      <c r="O4" s="67">
        <f t="shared" ref="O4:O15" si="3">H4/I4</f>
        <v>4.9094789081885857</v>
      </c>
      <c r="P4" s="68"/>
    </row>
    <row r="5" spans="1:16" x14ac:dyDescent="0.25">
      <c r="A5" s="69" t="s">
        <v>68</v>
      </c>
      <c r="B5" s="281"/>
      <c r="C5" s="312" t="s">
        <v>93</v>
      </c>
      <c r="D5" s="281" t="s">
        <v>94</v>
      </c>
      <c r="E5" s="281" t="s">
        <v>65</v>
      </c>
      <c r="F5" s="293">
        <v>125798.95586700464</v>
      </c>
      <c r="G5" s="293">
        <v>3236.12</v>
      </c>
      <c r="H5" s="294">
        <v>6904</v>
      </c>
      <c r="I5" s="295">
        <v>1582</v>
      </c>
      <c r="J5" s="293">
        <f t="shared" si="0"/>
        <v>122562.83586700464</v>
      </c>
      <c r="K5" s="313">
        <f t="shared" si="1"/>
        <v>17.752438567063244</v>
      </c>
      <c r="L5" s="136">
        <f t="shared" si="2"/>
        <v>0.55334959823540086</v>
      </c>
      <c r="M5" s="71">
        <f t="shared" ref="M5:M9" si="4">G5/F5</f>
        <v>2.5724537836556004E-2</v>
      </c>
      <c r="N5" s="71">
        <f t="shared" ref="N5:N15" si="5">+IF(E5="Weekdays",M5/$G$33,IF(E5="Saturdays",M5/$G$34,IF(E5="Sundays",M5/$G$35,"NA")))</f>
        <v>0.47954863008081611</v>
      </c>
      <c r="O5" s="298">
        <f t="shared" si="3"/>
        <v>4.3640960809102403</v>
      </c>
      <c r="P5" s="72"/>
    </row>
    <row r="6" spans="1:16" ht="15.75" x14ac:dyDescent="0.25">
      <c r="A6" s="69" t="s">
        <v>68</v>
      </c>
      <c r="B6" s="281"/>
      <c r="C6" s="314" t="s">
        <v>93</v>
      </c>
      <c r="D6" s="281" t="s">
        <v>94</v>
      </c>
      <c r="E6" s="281" t="s">
        <v>66</v>
      </c>
      <c r="F6" s="293">
        <v>139714.76956910692</v>
      </c>
      <c r="G6" s="293">
        <v>433</v>
      </c>
      <c r="H6" s="294">
        <v>7371</v>
      </c>
      <c r="I6" s="295">
        <v>1757</v>
      </c>
      <c r="J6" s="293">
        <f t="shared" si="0"/>
        <v>139281.76956910692</v>
      </c>
      <c r="K6" s="313">
        <f t="shared" si="1"/>
        <v>18.895912300787806</v>
      </c>
      <c r="L6" s="136">
        <f t="shared" si="2"/>
        <v>0.6521142499554593</v>
      </c>
      <c r="M6" s="71">
        <f t="shared" si="4"/>
        <v>3.0991712711219538E-3</v>
      </c>
      <c r="N6" s="71">
        <f t="shared" si="5"/>
        <v>8.7823903920634661E-2</v>
      </c>
      <c r="O6" s="298">
        <f t="shared" si="3"/>
        <v>4.1952191235059759</v>
      </c>
      <c r="P6" s="72"/>
    </row>
    <row r="7" spans="1:16" ht="15.75" x14ac:dyDescent="0.25">
      <c r="A7" s="69" t="s">
        <v>34</v>
      </c>
      <c r="B7" s="281"/>
      <c r="C7" s="314" t="s">
        <v>32</v>
      </c>
      <c r="D7" s="281" t="s">
        <v>94</v>
      </c>
      <c r="E7" s="315" t="s">
        <v>33</v>
      </c>
      <c r="F7" s="293">
        <v>6189653.225125283</v>
      </c>
      <c r="G7" s="190">
        <v>540665.18000000005</v>
      </c>
      <c r="H7" s="28">
        <v>128702</v>
      </c>
      <c r="I7" s="295">
        <v>51304</v>
      </c>
      <c r="J7" s="189">
        <f t="shared" si="0"/>
        <v>5648988.0451252833</v>
      </c>
      <c r="K7" s="313">
        <f t="shared" si="1"/>
        <v>43.891998920959139</v>
      </c>
      <c r="L7" s="136">
        <f t="shared" si="2"/>
        <v>1.3643535872074066</v>
      </c>
      <c r="M7" s="71">
        <f t="shared" si="4"/>
        <v>8.7349833720136494E-2</v>
      </c>
      <c r="N7" s="71">
        <f t="shared" si="5"/>
        <v>1.3259054114040696</v>
      </c>
      <c r="O7" s="298">
        <f t="shared" si="3"/>
        <v>2.5086153126461874</v>
      </c>
      <c r="P7" s="72"/>
    </row>
    <row r="8" spans="1:16" x14ac:dyDescent="0.25">
      <c r="A8" s="69" t="s">
        <v>34</v>
      </c>
      <c r="B8" s="281"/>
      <c r="C8" s="312" t="s">
        <v>32</v>
      </c>
      <c r="D8" s="281" t="s">
        <v>94</v>
      </c>
      <c r="E8" s="281" t="s">
        <v>65</v>
      </c>
      <c r="F8" s="293">
        <v>677266.77487471711</v>
      </c>
      <c r="G8" s="293">
        <v>58351.46</v>
      </c>
      <c r="H8" s="294">
        <v>13912</v>
      </c>
      <c r="I8" s="295">
        <v>5537</v>
      </c>
      <c r="J8" s="189">
        <f t="shared" si="0"/>
        <v>618915.31487471715</v>
      </c>
      <c r="K8" s="313">
        <f t="shared" si="1"/>
        <v>44.48787484723384</v>
      </c>
      <c r="L8" s="136">
        <f t="shared" si="2"/>
        <v>1.3867023158574461</v>
      </c>
      <c r="M8" s="71">
        <f t="shared" si="4"/>
        <v>8.6157275337763364E-2</v>
      </c>
      <c r="N8" s="71">
        <f t="shared" si="5"/>
        <v>1.6061164489029967</v>
      </c>
      <c r="O8" s="298">
        <f t="shared" si="3"/>
        <v>2.5125519234242368</v>
      </c>
      <c r="P8" s="72"/>
    </row>
    <row r="9" spans="1:16" ht="15.75" x14ac:dyDescent="0.25">
      <c r="A9" s="69" t="s">
        <v>10</v>
      </c>
      <c r="B9" s="281"/>
      <c r="C9" s="314" t="s">
        <v>7</v>
      </c>
      <c r="D9" s="281" t="s">
        <v>94</v>
      </c>
      <c r="E9" s="281" t="s">
        <v>33</v>
      </c>
      <c r="F9" s="293">
        <v>1489200</v>
      </c>
      <c r="G9" s="293">
        <v>70394</v>
      </c>
      <c r="H9" s="294">
        <v>36263</v>
      </c>
      <c r="I9" s="295">
        <v>16562</v>
      </c>
      <c r="J9" s="189">
        <f t="shared" si="0"/>
        <v>1418806</v>
      </c>
      <c r="K9" s="313">
        <f t="shared" si="1"/>
        <v>39.125444668119016</v>
      </c>
      <c r="L9" s="136">
        <f t="shared" si="2"/>
        <v>1.216188419218766</v>
      </c>
      <c r="M9" s="71">
        <f t="shared" si="4"/>
        <v>4.7269674993284987E-2</v>
      </c>
      <c r="N9" s="71">
        <f t="shared" si="5"/>
        <v>0.71751845652866864</v>
      </c>
      <c r="O9" s="298">
        <f t="shared" si="3"/>
        <v>2.1895302499698106</v>
      </c>
      <c r="P9" s="72"/>
    </row>
    <row r="10" spans="1:16" ht="15.75" x14ac:dyDescent="0.25">
      <c r="A10" s="69" t="s">
        <v>10</v>
      </c>
      <c r="B10" s="281"/>
      <c r="C10" s="314" t="s">
        <v>7</v>
      </c>
      <c r="D10" s="281" t="s">
        <v>94</v>
      </c>
      <c r="E10" s="281" t="s">
        <v>65</v>
      </c>
      <c r="F10" s="293">
        <v>83185</v>
      </c>
      <c r="G10" s="293">
        <v>3705</v>
      </c>
      <c r="H10" s="294">
        <v>2251</v>
      </c>
      <c r="I10" s="295">
        <v>932</v>
      </c>
      <c r="J10" s="189">
        <f t="shared" si="0"/>
        <v>79480</v>
      </c>
      <c r="K10" s="313">
        <f t="shared" si="1"/>
        <v>35.308751665926252</v>
      </c>
      <c r="L10" s="136">
        <f t="shared" si="2"/>
        <v>1.1005858983668622</v>
      </c>
      <c r="M10" s="71">
        <f t="shared" ref="M10:M22" si="6">G10/F10</f>
        <v>4.4539279918254494E-2</v>
      </c>
      <c r="N10" s="71">
        <f t="shared" si="5"/>
        <v>0.83028705142500048</v>
      </c>
      <c r="O10" s="298">
        <f t="shared" si="3"/>
        <v>2.4152360515021458</v>
      </c>
      <c r="P10" s="72"/>
    </row>
    <row r="11" spans="1:16" x14ac:dyDescent="0.25">
      <c r="A11" s="69" t="s">
        <v>69</v>
      </c>
      <c r="B11" s="281"/>
      <c r="C11" s="312" t="s">
        <v>95</v>
      </c>
      <c r="D11" s="281" t="s">
        <v>94</v>
      </c>
      <c r="E11" s="281" t="s">
        <v>33</v>
      </c>
      <c r="F11" s="293">
        <v>1386483.1417176283</v>
      </c>
      <c r="G11" s="293">
        <v>64948.516529291854</v>
      </c>
      <c r="H11" s="294">
        <v>40864</v>
      </c>
      <c r="I11" s="295">
        <v>14174.552867145263</v>
      </c>
      <c r="J11" s="293">
        <f t="shared" si="0"/>
        <v>1321534.6251883365</v>
      </c>
      <c r="K11" s="313">
        <f t="shared" si="1"/>
        <v>32.339825401045822</v>
      </c>
      <c r="L11" s="136">
        <f t="shared" si="2"/>
        <v>1.0052619584502143</v>
      </c>
      <c r="M11" s="71">
        <f t="shared" si="6"/>
        <v>4.6844072297071819E-2</v>
      </c>
      <c r="N11" s="71">
        <f t="shared" si="5"/>
        <v>0.71105812461979268</v>
      </c>
      <c r="O11" s="298">
        <f t="shared" si="3"/>
        <v>2.8829128074097734</v>
      </c>
      <c r="P11" s="72"/>
    </row>
    <row r="12" spans="1:16" x14ac:dyDescent="0.25">
      <c r="A12" s="69" t="s">
        <v>69</v>
      </c>
      <c r="B12" s="281"/>
      <c r="C12" s="312" t="s">
        <v>95</v>
      </c>
      <c r="D12" s="281" t="s">
        <v>94</v>
      </c>
      <c r="E12" s="281" t="s">
        <v>65</v>
      </c>
      <c r="F12" s="293">
        <v>90387.409199680944</v>
      </c>
      <c r="G12" s="293">
        <v>4234.1143312948689</v>
      </c>
      <c r="H12" s="28">
        <v>2664</v>
      </c>
      <c r="I12" s="295">
        <v>924.06540813613401</v>
      </c>
      <c r="J12" s="189">
        <f t="shared" si="0"/>
        <v>86153.294868386074</v>
      </c>
      <c r="K12" s="313">
        <f t="shared" si="1"/>
        <v>32.339825401045822</v>
      </c>
      <c r="L12" s="136">
        <f t="shared" si="2"/>
        <v>1.0080434485137946</v>
      </c>
      <c r="M12" s="71">
        <f t="shared" si="6"/>
        <v>4.6844072297071819E-2</v>
      </c>
      <c r="N12" s="71">
        <f t="shared" si="5"/>
        <v>0.87325225588872912</v>
      </c>
      <c r="O12" s="298">
        <f t="shared" si="3"/>
        <v>2.8829128074097734</v>
      </c>
      <c r="P12" s="72"/>
    </row>
    <row r="13" spans="1:16" x14ac:dyDescent="0.25">
      <c r="A13" s="69" t="s">
        <v>69</v>
      </c>
      <c r="B13" s="281"/>
      <c r="C13" s="312" t="s">
        <v>95</v>
      </c>
      <c r="D13" s="281" t="s">
        <v>94</v>
      </c>
      <c r="E13" s="281" t="s">
        <v>66</v>
      </c>
      <c r="F13" s="191">
        <v>54422.449082690779</v>
      </c>
      <c r="G13" s="293">
        <v>2549.3691394132766</v>
      </c>
      <c r="H13" s="28">
        <v>1604</v>
      </c>
      <c r="I13" s="295">
        <v>556.38172471860321</v>
      </c>
      <c r="J13" s="189">
        <f t="shared" si="0"/>
        <v>51873.079943277502</v>
      </c>
      <c r="K13" s="313">
        <f t="shared" si="1"/>
        <v>32.339825401045822</v>
      </c>
      <c r="L13" s="136">
        <f t="shared" si="2"/>
        <v>1.1160752997469328</v>
      </c>
      <c r="M13" s="71">
        <f t="shared" si="6"/>
        <v>4.6844072297071819E-2</v>
      </c>
      <c r="N13" s="71">
        <f t="shared" si="5"/>
        <v>1.3274611000055989</v>
      </c>
      <c r="O13" s="298">
        <f t="shared" si="3"/>
        <v>2.8829128074097734</v>
      </c>
      <c r="P13" s="72"/>
    </row>
    <row r="14" spans="1:16" x14ac:dyDescent="0.25">
      <c r="A14" s="69" t="s">
        <v>9</v>
      </c>
      <c r="B14" s="281"/>
      <c r="C14" s="312" t="s">
        <v>36</v>
      </c>
      <c r="D14" s="281" t="s">
        <v>94</v>
      </c>
      <c r="E14" s="281" t="s">
        <v>33</v>
      </c>
      <c r="F14" s="137">
        <v>2806631.56</v>
      </c>
      <c r="G14" s="293">
        <v>180761.59</v>
      </c>
      <c r="H14" s="28">
        <v>85669</v>
      </c>
      <c r="I14" s="295">
        <v>30031.96</v>
      </c>
      <c r="J14" s="28">
        <f t="shared" si="0"/>
        <v>2625869.9700000002</v>
      </c>
      <c r="K14" s="313">
        <f t="shared" si="1"/>
        <v>30.651343776628654</v>
      </c>
      <c r="L14" s="136">
        <f t="shared" si="2"/>
        <v>0.95277663042138971</v>
      </c>
      <c r="M14" s="71">
        <f t="shared" si="6"/>
        <v>6.4405172583465134E-2</v>
      </c>
      <c r="N14" s="71">
        <f t="shared" si="5"/>
        <v>0.97762254619087552</v>
      </c>
      <c r="O14" s="298">
        <f t="shared" si="3"/>
        <v>2.8525943694650633</v>
      </c>
      <c r="P14" s="72"/>
    </row>
    <row r="15" spans="1:16" x14ac:dyDescent="0.25">
      <c r="A15" s="69" t="s">
        <v>9</v>
      </c>
      <c r="B15" s="281"/>
      <c r="C15" s="312" t="s">
        <v>36</v>
      </c>
      <c r="D15" s="281" t="s">
        <v>94</v>
      </c>
      <c r="E15" s="281" t="s">
        <v>65</v>
      </c>
      <c r="F15" s="137">
        <v>418477.38750000001</v>
      </c>
      <c r="G15" s="293">
        <v>27180.52</v>
      </c>
      <c r="H15" s="28">
        <v>12821</v>
      </c>
      <c r="I15" s="295">
        <v>4604.63</v>
      </c>
      <c r="J15" s="28">
        <f t="shared" si="0"/>
        <v>391296.86749999999</v>
      </c>
      <c r="K15" s="313">
        <f t="shared" si="1"/>
        <v>30.519995905155604</v>
      </c>
      <c r="L15" s="136">
        <f t="shared" si="2"/>
        <v>0.95131873902649555</v>
      </c>
      <c r="M15" s="71">
        <f t="shared" si="6"/>
        <v>6.495098854056959E-2</v>
      </c>
      <c r="N15" s="71">
        <f t="shared" si="5"/>
        <v>1.210795613702458</v>
      </c>
      <c r="O15" s="298">
        <f t="shared" si="3"/>
        <v>2.7843713827169609</v>
      </c>
      <c r="P15" s="72"/>
    </row>
    <row r="16" spans="1:16" ht="15.75" thickBot="1" x14ac:dyDescent="0.3">
      <c r="A16" s="73" t="s">
        <v>9</v>
      </c>
      <c r="B16" s="75"/>
      <c r="C16" s="192" t="s">
        <v>36</v>
      </c>
      <c r="D16" s="75" t="s">
        <v>94</v>
      </c>
      <c r="E16" s="75" t="s">
        <v>66</v>
      </c>
      <c r="F16" s="121">
        <v>432331.05000000005</v>
      </c>
      <c r="G16" s="121">
        <v>24176.89</v>
      </c>
      <c r="H16" s="122">
        <v>11435</v>
      </c>
      <c r="I16" s="123">
        <v>4613.0200000000004</v>
      </c>
      <c r="J16" s="121">
        <f t="shared" si="0"/>
        <v>408154.16000000003</v>
      </c>
      <c r="K16" s="78">
        <f t="shared" si="1"/>
        <v>35.693411456055969</v>
      </c>
      <c r="L16" s="142">
        <f t="shared" si="2"/>
        <v>1.2318104502976079</v>
      </c>
      <c r="M16" s="79">
        <f t="shared" si="6"/>
        <v>5.5922168902742465E-2</v>
      </c>
      <c r="N16" s="79">
        <f>+IF(E16="Weekdays",M16/$G$33,IF(E16="Saturdays",M16/$G$34,IF(E16="Sundays",M16/$G$35,"NA")))</f>
        <v>1.5847149960737665</v>
      </c>
      <c r="O16" s="80">
        <f>H16/I16</f>
        <v>2.4788533325240296</v>
      </c>
      <c r="P16" s="81"/>
    </row>
    <row r="17" spans="1:16" ht="15.75" thickTop="1" x14ac:dyDescent="0.25">
      <c r="A17" s="275"/>
      <c r="B17" s="275"/>
      <c r="C17" s="299"/>
      <c r="D17" s="275"/>
      <c r="E17" s="275"/>
      <c r="F17" s="300"/>
      <c r="G17" s="300"/>
      <c r="H17" s="301"/>
      <c r="I17" s="301"/>
      <c r="J17" s="300"/>
      <c r="K17" s="302"/>
      <c r="L17" s="136"/>
      <c r="M17" s="136"/>
      <c r="N17" s="136"/>
      <c r="O17" s="303"/>
      <c r="P17" s="304"/>
    </row>
    <row r="18" spans="1:16" x14ac:dyDescent="0.25">
      <c r="A18" s="275"/>
      <c r="B18" s="275"/>
      <c r="C18" s="299"/>
      <c r="D18" s="275"/>
      <c r="E18" s="275"/>
      <c r="F18" s="300"/>
      <c r="G18" s="300"/>
      <c r="H18" s="301"/>
      <c r="I18" s="301"/>
      <c r="J18" s="300"/>
      <c r="K18" s="302"/>
      <c r="L18" s="136"/>
      <c r="M18" s="136"/>
      <c r="N18" s="136"/>
      <c r="O18" s="303"/>
      <c r="P18" s="304"/>
    </row>
    <row r="19" spans="1:16" x14ac:dyDescent="0.25">
      <c r="A19" s="275"/>
      <c r="B19" s="275"/>
      <c r="C19" s="299"/>
      <c r="D19" s="275"/>
      <c r="E19" s="275"/>
      <c r="F19" s="300"/>
      <c r="G19" s="300"/>
      <c r="H19" s="301"/>
      <c r="I19" s="301"/>
      <c r="J19" s="300"/>
      <c r="K19" s="302"/>
      <c r="L19" s="136"/>
      <c r="M19" s="136"/>
      <c r="N19" s="136"/>
      <c r="O19" s="303"/>
      <c r="P19" s="304"/>
    </row>
    <row r="20" spans="1:16" x14ac:dyDescent="0.25">
      <c r="A20" s="275"/>
      <c r="B20" s="275"/>
      <c r="C20" s="275"/>
      <c r="D20" s="275"/>
      <c r="E20" s="275"/>
      <c r="F20" s="300"/>
      <c r="G20" s="300"/>
      <c r="H20" s="301"/>
      <c r="I20" s="301"/>
      <c r="J20" s="300"/>
      <c r="K20" s="302"/>
      <c r="L20" s="136"/>
      <c r="M20" s="136"/>
      <c r="N20" s="136"/>
      <c r="O20" s="303"/>
      <c r="P20" s="304"/>
    </row>
    <row r="21" spans="1:16" x14ac:dyDescent="0.25">
      <c r="A21" s="275"/>
      <c r="B21" s="275"/>
      <c r="C21" s="275"/>
      <c r="D21" s="275"/>
      <c r="E21" s="275"/>
      <c r="F21" s="300"/>
      <c r="G21" s="300"/>
      <c r="H21" s="301"/>
      <c r="I21" s="301"/>
      <c r="J21" s="300"/>
      <c r="K21" s="302"/>
      <c r="L21" s="136"/>
      <c r="M21" s="136"/>
      <c r="N21" s="136"/>
      <c r="O21" s="303"/>
      <c r="P21" s="304"/>
    </row>
    <row r="22" spans="1:16" x14ac:dyDescent="0.25">
      <c r="A22" s="305"/>
      <c r="B22" s="305"/>
      <c r="C22" s="305"/>
      <c r="D22" s="305"/>
      <c r="E22" s="305"/>
      <c r="F22" s="306"/>
      <c r="G22" s="306"/>
      <c r="H22" s="28"/>
      <c r="I22" s="28"/>
      <c r="J22" s="306"/>
      <c r="K22" s="307"/>
      <c r="L22" s="136"/>
      <c r="M22" s="136"/>
      <c r="N22" s="136"/>
      <c r="O22" s="308"/>
      <c r="P22" s="304"/>
    </row>
    <row r="23" spans="1:16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71"/>
      <c r="N23" s="71"/>
      <c r="O23" s="21"/>
      <c r="P23" s="19"/>
    </row>
    <row r="24" spans="1:16" ht="15.75" thickBot="1" x14ac:dyDescent="0.3">
      <c r="A24" s="21"/>
      <c r="B24" s="21"/>
      <c r="C24" s="21"/>
      <c r="D24" s="21"/>
      <c r="E24" s="268" t="s">
        <v>113</v>
      </c>
      <c r="F24" s="268"/>
      <c r="G24" s="268"/>
      <c r="H24" s="268"/>
      <c r="I24" s="268"/>
      <c r="J24" s="268"/>
      <c r="K24" s="268"/>
      <c r="L24" s="21"/>
      <c r="M24" s="71"/>
      <c r="N24" s="71"/>
      <c r="O24" s="21"/>
    </row>
    <row r="25" spans="1:16" ht="36" x14ac:dyDescent="0.25">
      <c r="A25" s="21"/>
      <c r="B25" s="21"/>
      <c r="C25" s="21"/>
      <c r="D25" s="21"/>
      <c r="E25" s="82" t="s">
        <v>63</v>
      </c>
      <c r="F25" s="126" t="s">
        <v>44</v>
      </c>
      <c r="G25" s="127" t="s">
        <v>45</v>
      </c>
      <c r="H25" s="127" t="s">
        <v>46</v>
      </c>
      <c r="I25" s="127" t="s">
        <v>47</v>
      </c>
      <c r="J25" s="128" t="s">
        <v>48</v>
      </c>
      <c r="K25" s="85" t="s">
        <v>62</v>
      </c>
      <c r="L25" s="21"/>
      <c r="M25" s="71"/>
      <c r="N25" s="71"/>
      <c r="O25" s="21"/>
    </row>
    <row r="26" spans="1:16" x14ac:dyDescent="0.25">
      <c r="A26" s="21"/>
      <c r="B26" s="21"/>
      <c r="C26" s="21"/>
      <c r="D26" s="21"/>
      <c r="E26" s="86">
        <f>COUNTIF($E$4:$E$16,"Weekdays")+COUNTIF(E4:E16,"All Days")+COUNTIF(E4:E16,"Weekday/Sat")</f>
        <v>5</v>
      </c>
      <c r="F26" s="153" t="s">
        <v>33</v>
      </c>
      <c r="G26" s="154">
        <f>(SUMIF(E4:E16,"Weekdays",K4:K16)+SUMIF(E4:E16,"All Day",K4:K16)+SUMIF(E4:E16,"Weekday/Sat",K4:K16))/E26</f>
        <v>32.170545328208057</v>
      </c>
      <c r="H26" s="155">
        <f>G26*1.2</f>
        <v>38.604654393849664</v>
      </c>
      <c r="I26" s="156">
        <f>G26*1.35</f>
        <v>43.43023619308088</v>
      </c>
      <c r="J26" s="226">
        <f>G26*1.6</f>
        <v>51.472872525132892</v>
      </c>
      <c r="K26" s="92">
        <f>+SUMIF($E$4:$E$16,"Weekdays",$J$4:$J$16)/SUMIF($E$4:$E$16,"Weekdays",$H$4:$H$16)</f>
        <v>34.459756526046995</v>
      </c>
      <c r="L26" s="21"/>
      <c r="M26" s="71"/>
      <c r="N26" s="71"/>
      <c r="O26" s="21"/>
    </row>
    <row r="27" spans="1:16" x14ac:dyDescent="0.25">
      <c r="A27" s="21"/>
      <c r="B27" s="21"/>
      <c r="C27" s="21"/>
      <c r="D27" s="21"/>
      <c r="E27" s="86">
        <f>COUNTIF($E$4:$E$16, "Saturdays")</f>
        <v>5</v>
      </c>
      <c r="F27" s="153" t="s">
        <v>65</v>
      </c>
      <c r="G27" s="154">
        <f>AVERAGEIF($E$4:$E$16,"Saturdays",K4:K16)</f>
        <v>32.081777277284957</v>
      </c>
      <c r="H27" s="155">
        <f>G27*1.2</f>
        <v>38.498132732741944</v>
      </c>
      <c r="I27" s="156">
        <f>G27*1.35</f>
        <v>43.310399324334696</v>
      </c>
      <c r="J27" s="157">
        <f>G27*1.6</f>
        <v>51.330843643655932</v>
      </c>
      <c r="K27" s="92">
        <f>+SUMIF($E$4:$E$16,"Saturdays",$J$4:$J$16)/SUMIF($E$4:$E$16,"Saturdays",$H$4:$H$16)</f>
        <v>33.67940218691917</v>
      </c>
      <c r="L27" s="21"/>
      <c r="M27" s="71"/>
      <c r="N27" s="71"/>
      <c r="O27" s="21"/>
    </row>
    <row r="28" spans="1:16" ht="15.75" thickBot="1" x14ac:dyDescent="0.3">
      <c r="A28" s="21"/>
      <c r="B28" s="21"/>
      <c r="C28" s="21"/>
      <c r="D28" s="21"/>
      <c r="E28" s="98">
        <f>COUNTIF($E$4:$E$16, "Sundays")</f>
        <v>3</v>
      </c>
      <c r="F28" s="153" t="s">
        <v>66</v>
      </c>
      <c r="G28" s="158">
        <f>AVERAGEIF($E$4:$E$16,"Sundays",K4:K16)</f>
        <v>28.976383052629867</v>
      </c>
      <c r="H28" s="155">
        <f>G28*1.2</f>
        <v>34.771659663155837</v>
      </c>
      <c r="I28" s="156">
        <f>G28*1.35</f>
        <v>39.118117121050325</v>
      </c>
      <c r="J28" s="157">
        <f>G28*1.6</f>
        <v>46.362212884207793</v>
      </c>
      <c r="K28" s="92">
        <f>+SUMIF($E$4:$E$16,"Sundays",$J$4:$J$16)/SUMIF($E$4:$E$16,"Sundays",$H$4:$H$16)</f>
        <v>29.363498751219225</v>
      </c>
      <c r="L28" s="21"/>
      <c r="M28" s="71"/>
      <c r="N28" s="71"/>
      <c r="O28" s="21"/>
    </row>
    <row r="29" spans="1:16" ht="15.75" thickBot="1" x14ac:dyDescent="0.3">
      <c r="A29" s="21"/>
      <c r="B29" s="21"/>
      <c r="C29" s="21"/>
      <c r="D29" s="21"/>
      <c r="E29" s="56"/>
      <c r="F29" s="153" t="s">
        <v>13</v>
      </c>
      <c r="G29" s="141" t="e">
        <f>AVERAGE(K17:K22)</f>
        <v>#DIV/0!</v>
      </c>
      <c r="H29" s="155" t="e">
        <f>G29*1.2</f>
        <v>#DIV/0!</v>
      </c>
      <c r="I29" s="156" t="e">
        <f>G29*1.35</f>
        <v>#DIV/0!</v>
      </c>
      <c r="J29" s="157" t="e">
        <f>G29*1.6</f>
        <v>#DIV/0!</v>
      </c>
      <c r="K29" s="92">
        <f>+SUMIF($E$4:$E$16,"Sundays",$J$4:$J$16)/SUMIF($E$4:$E$16,"Sundays",$H$4:$H$16)</f>
        <v>29.363498751219225</v>
      </c>
      <c r="L29" s="21"/>
      <c r="M29" s="71"/>
      <c r="N29" s="71"/>
      <c r="O29" s="21"/>
    </row>
    <row r="30" spans="1:16" ht="15.75" thickBot="1" x14ac:dyDescent="0.3">
      <c r="E30" s="21"/>
      <c r="F30" s="159" t="s">
        <v>61</v>
      </c>
      <c r="G30" s="105">
        <v>2</v>
      </c>
      <c r="H30" s="106"/>
      <c r="I30" s="106"/>
      <c r="J30" s="107"/>
      <c r="K30" s="108">
        <f>+SUM($J$4:$J$16)/SUM($H$4:$H$16)</f>
        <v>34.124444874388317</v>
      </c>
      <c r="M30" s="71"/>
      <c r="N30" s="71"/>
    </row>
    <row r="31" spans="1:16" ht="15.75" thickBot="1" x14ac:dyDescent="0.3">
      <c r="E31" s="270" t="s">
        <v>112</v>
      </c>
      <c r="F31" s="270"/>
      <c r="G31" s="270"/>
      <c r="H31" s="270"/>
      <c r="I31" s="270"/>
      <c r="J31" s="270"/>
      <c r="K31" s="270"/>
      <c r="M31" s="71"/>
      <c r="N31" s="71"/>
    </row>
    <row r="32" spans="1:16" ht="36" x14ac:dyDescent="0.25">
      <c r="E32" s="248"/>
      <c r="F32" s="82" t="s">
        <v>44</v>
      </c>
      <c r="G32" s="83" t="s">
        <v>45</v>
      </c>
      <c r="H32" s="83" t="s">
        <v>46</v>
      </c>
      <c r="I32" s="83" t="s">
        <v>47</v>
      </c>
      <c r="J32" s="84" t="s">
        <v>48</v>
      </c>
      <c r="K32" s="85" t="s">
        <v>62</v>
      </c>
      <c r="M32" s="71"/>
      <c r="N32" s="71"/>
    </row>
    <row r="33" spans="5:14" x14ac:dyDescent="0.25">
      <c r="E33" s="249"/>
      <c r="F33" s="87" t="s">
        <v>33</v>
      </c>
      <c r="G33" s="229">
        <f>AVERAGEIF($E$4:$E$97,"Weekdays",$M$4:$M$97)</f>
        <v>6.5879385489223743E-2</v>
      </c>
      <c r="H33" s="230">
        <f>G33*0.8</f>
        <v>5.2703508391378995E-2</v>
      </c>
      <c r="I33" s="231">
        <f>G33*0.65</f>
        <v>4.2821600567995437E-2</v>
      </c>
      <c r="J33" s="232">
        <f>G33*0.4</f>
        <v>2.6351754195689497E-2</v>
      </c>
      <c r="K33" s="237">
        <f>+SUMIF($E$4:$E$97,"Weekdays",$G$4:$G$97)/SUMIF($E$4:$E$97,"Weekdays",$F$4:$F$97)</f>
        <v>7.2885608986897124E-2</v>
      </c>
      <c r="M33" s="71"/>
      <c r="N33" s="71"/>
    </row>
    <row r="34" spans="5:14" x14ac:dyDescent="0.25">
      <c r="E34" s="249"/>
      <c r="F34" s="93" t="s">
        <v>65</v>
      </c>
      <c r="G34" s="233">
        <f>AVERAGEIF($E$4:$E$97,"Saturdays",$M$4:$M$97)</f>
        <v>5.364323078604305E-2</v>
      </c>
      <c r="H34" s="234">
        <f>G34*0.8</f>
        <v>4.2914584628834442E-2</v>
      </c>
      <c r="I34" s="235">
        <f>G34*0.65</f>
        <v>3.4868100010927987E-2</v>
      </c>
      <c r="J34" s="236">
        <f>G34*0.4</f>
        <v>2.1457292314417221E-2</v>
      </c>
      <c r="K34" s="237">
        <f>+SUMIF($E$4:$E$97,"Saturdays",$G$4:$G$97)/SUMIF($E$4:$E$97,"Saturdays",$F$4:$F$97)</f>
        <v>6.9318427348201636E-2</v>
      </c>
      <c r="M34" s="71"/>
      <c r="N34" s="71"/>
    </row>
    <row r="35" spans="5:14" x14ac:dyDescent="0.25">
      <c r="E35" s="249"/>
      <c r="F35" s="99" t="s">
        <v>66</v>
      </c>
      <c r="G35" s="244">
        <f>AVERAGEIF($E$4:$E$97,"Sundays",$M$4:$M$97)</f>
        <v>3.5288470823645411E-2</v>
      </c>
      <c r="H35" s="245">
        <f>G35*0.8</f>
        <v>2.823077665891633E-2</v>
      </c>
      <c r="I35" s="246">
        <f>G35*0.65</f>
        <v>2.293750603536952E-2</v>
      </c>
      <c r="J35" s="247">
        <f>G35*0.4</f>
        <v>1.4115388329458165E-2</v>
      </c>
      <c r="K35" s="237">
        <f>+SUMIF($E$4:$E$97,"Sundays",$G$4:$G$97)/SUMIF($E$4:$E$97,"Sundays",$F$4:$F$97)</f>
        <v>4.3352968535600125E-2</v>
      </c>
      <c r="M35" s="71"/>
      <c r="N35" s="71"/>
    </row>
    <row r="36" spans="5:14" ht="15.75" thickBot="1" x14ac:dyDescent="0.3">
      <c r="E36" s="56"/>
      <c r="F36" s="145" t="s">
        <v>115</v>
      </c>
      <c r="G36" s="239">
        <f>AVERAGE(M:M)</f>
        <v>5.4113730295943865E-2</v>
      </c>
      <c r="H36" s="240">
        <f>G36*0.8</f>
        <v>4.3290984236755092E-2</v>
      </c>
      <c r="I36" s="241">
        <f>G36*0.65</f>
        <v>3.5173924692363516E-2</v>
      </c>
      <c r="J36" s="242">
        <f>G36*0.4</f>
        <v>2.1645492118377546E-2</v>
      </c>
      <c r="K36" s="238">
        <f>+SUM($G$4:$G$16)/SUM($F$4:$F$16)</f>
        <v>7.1287897931820998E-2</v>
      </c>
      <c r="M36" s="71"/>
      <c r="N36" s="71"/>
    </row>
    <row r="37" spans="5:14" x14ac:dyDescent="0.25">
      <c r="M37" s="71"/>
      <c r="N37" s="71"/>
    </row>
    <row r="38" spans="5:14" x14ac:dyDescent="0.25">
      <c r="M38" s="71"/>
      <c r="N38" s="71"/>
    </row>
    <row r="39" spans="5:14" x14ac:dyDescent="0.25">
      <c r="M39" s="71"/>
      <c r="N39" s="71"/>
    </row>
    <row r="40" spans="5:14" x14ac:dyDescent="0.25">
      <c r="M40" s="71"/>
      <c r="N40" s="71"/>
    </row>
    <row r="41" spans="5:14" x14ac:dyDescent="0.25">
      <c r="M41" s="71"/>
      <c r="N41" s="71"/>
    </row>
    <row r="42" spans="5:14" x14ac:dyDescent="0.25">
      <c r="M42" s="71"/>
      <c r="N42" s="71"/>
    </row>
    <row r="43" spans="5:14" x14ac:dyDescent="0.25">
      <c r="M43" s="71"/>
      <c r="N43" s="71"/>
    </row>
    <row r="44" spans="5:14" x14ac:dyDescent="0.25">
      <c r="M44" s="71"/>
      <c r="N44" s="71"/>
    </row>
    <row r="45" spans="5:14" x14ac:dyDescent="0.25">
      <c r="M45" s="71"/>
      <c r="N45" s="71"/>
    </row>
    <row r="46" spans="5:14" x14ac:dyDescent="0.25">
      <c r="M46" s="71"/>
      <c r="N46" s="71"/>
    </row>
    <row r="47" spans="5:14" x14ac:dyDescent="0.25">
      <c r="M47" s="71"/>
      <c r="N47" s="71"/>
    </row>
    <row r="48" spans="5:14" x14ac:dyDescent="0.25">
      <c r="M48" s="71"/>
      <c r="N48" s="71"/>
    </row>
    <row r="49" spans="13:14" x14ac:dyDescent="0.25">
      <c r="M49" s="71"/>
      <c r="N49" s="71"/>
    </row>
    <row r="50" spans="13:14" x14ac:dyDescent="0.25">
      <c r="M50" s="71"/>
      <c r="N50" s="71"/>
    </row>
    <row r="51" spans="13:14" x14ac:dyDescent="0.25">
      <c r="M51" s="71"/>
      <c r="N51" s="71"/>
    </row>
    <row r="52" spans="13:14" x14ac:dyDescent="0.25">
      <c r="M52" s="71"/>
      <c r="N52" s="71"/>
    </row>
    <row r="53" spans="13:14" x14ac:dyDescent="0.25">
      <c r="M53" s="71"/>
      <c r="N53" s="71"/>
    </row>
    <row r="54" spans="13:14" x14ac:dyDescent="0.25">
      <c r="M54" s="71"/>
      <c r="N54" s="71"/>
    </row>
    <row r="55" spans="13:14" x14ac:dyDescent="0.25">
      <c r="M55" s="71"/>
      <c r="N55" s="71"/>
    </row>
    <row r="56" spans="13:14" x14ac:dyDescent="0.25">
      <c r="M56" s="71"/>
      <c r="N56" s="71"/>
    </row>
    <row r="57" spans="13:14" x14ac:dyDescent="0.25">
      <c r="M57" s="71"/>
      <c r="N57" s="71"/>
    </row>
    <row r="58" spans="13:14" x14ac:dyDescent="0.25">
      <c r="M58" s="71"/>
      <c r="N58" s="71"/>
    </row>
    <row r="59" spans="13:14" x14ac:dyDescent="0.25">
      <c r="M59" s="71"/>
      <c r="N59" s="71"/>
    </row>
    <row r="60" spans="13:14" x14ac:dyDescent="0.25">
      <c r="M60" s="71"/>
      <c r="N60" s="71"/>
    </row>
    <row r="61" spans="13:14" x14ac:dyDescent="0.25">
      <c r="M61" s="71"/>
      <c r="N61" s="71"/>
    </row>
    <row r="62" spans="13:14" x14ac:dyDescent="0.25">
      <c r="M62" s="71"/>
      <c r="N62" s="71"/>
    </row>
    <row r="63" spans="13:14" x14ac:dyDescent="0.25">
      <c r="M63" s="71"/>
      <c r="N63" s="71"/>
    </row>
    <row r="64" spans="13:14" x14ac:dyDescent="0.25">
      <c r="M64" s="71"/>
      <c r="N64" s="71"/>
    </row>
    <row r="65" spans="13:14" x14ac:dyDescent="0.25">
      <c r="M65" s="71"/>
      <c r="N65" s="71"/>
    </row>
    <row r="66" spans="13:14" x14ac:dyDescent="0.25">
      <c r="M66" s="71"/>
      <c r="N66" s="71"/>
    </row>
    <row r="67" spans="13:14" x14ac:dyDescent="0.25">
      <c r="M67" s="71"/>
      <c r="N67" s="71"/>
    </row>
    <row r="68" spans="13:14" x14ac:dyDescent="0.25">
      <c r="M68" s="71"/>
      <c r="N68" s="71"/>
    </row>
    <row r="69" spans="13:14" x14ac:dyDescent="0.25">
      <c r="M69" s="71"/>
      <c r="N69" s="71"/>
    </row>
    <row r="70" spans="13:14" x14ac:dyDescent="0.25">
      <c r="M70" s="71"/>
      <c r="N70" s="71"/>
    </row>
    <row r="71" spans="13:14" x14ac:dyDescent="0.25">
      <c r="M71" s="71"/>
      <c r="N71" s="71"/>
    </row>
    <row r="72" spans="13:14" x14ac:dyDescent="0.25">
      <c r="M72" s="71"/>
      <c r="N72" s="71"/>
    </row>
    <row r="73" spans="13:14" x14ac:dyDescent="0.25">
      <c r="M73" s="71"/>
      <c r="N73" s="71"/>
    </row>
    <row r="74" spans="13:14" x14ac:dyDescent="0.25">
      <c r="M74" s="71"/>
      <c r="N74" s="71"/>
    </row>
    <row r="75" spans="13:14" x14ac:dyDescent="0.25">
      <c r="M75" s="71"/>
      <c r="N75" s="71"/>
    </row>
    <row r="76" spans="13:14" x14ac:dyDescent="0.25">
      <c r="M76" s="71"/>
      <c r="N76" s="71"/>
    </row>
    <row r="77" spans="13:14" x14ac:dyDescent="0.25">
      <c r="M77" s="71"/>
      <c r="N77" s="71"/>
    </row>
    <row r="78" spans="13:14" x14ac:dyDescent="0.25">
      <c r="M78" s="71"/>
      <c r="N78" s="71"/>
    </row>
    <row r="79" spans="13:14" x14ac:dyDescent="0.25">
      <c r="M79" s="71"/>
      <c r="N79" s="71"/>
    </row>
    <row r="80" spans="13:14" x14ac:dyDescent="0.25">
      <c r="M80" s="71"/>
      <c r="N80" s="71"/>
    </row>
    <row r="81" spans="13:14" x14ac:dyDescent="0.25">
      <c r="M81" s="71"/>
      <c r="N81" s="71"/>
    </row>
    <row r="82" spans="13:14" x14ac:dyDescent="0.25">
      <c r="M82" s="71"/>
      <c r="N82" s="71"/>
    </row>
    <row r="83" spans="13:14" x14ac:dyDescent="0.25">
      <c r="M83" s="71"/>
      <c r="N83" s="71"/>
    </row>
    <row r="84" spans="13:14" x14ac:dyDescent="0.25">
      <c r="M84" s="71"/>
      <c r="N84" s="71"/>
    </row>
    <row r="85" spans="13:14" x14ac:dyDescent="0.25">
      <c r="M85" s="71"/>
      <c r="N85" s="71"/>
    </row>
    <row r="86" spans="13:14" x14ac:dyDescent="0.25">
      <c r="M86" s="71"/>
      <c r="N86" s="71"/>
    </row>
    <row r="87" spans="13:14" x14ac:dyDescent="0.25">
      <c r="M87" s="71"/>
      <c r="N87" s="71"/>
    </row>
    <row r="88" spans="13:14" x14ac:dyDescent="0.25">
      <c r="M88" s="71"/>
      <c r="N88" s="71"/>
    </row>
    <row r="89" spans="13:14" x14ac:dyDescent="0.25">
      <c r="M89" s="71"/>
      <c r="N89" s="71"/>
    </row>
    <row r="90" spans="13:14" x14ac:dyDescent="0.25">
      <c r="M90" s="71"/>
      <c r="N90" s="71"/>
    </row>
    <row r="91" spans="13:14" x14ac:dyDescent="0.25">
      <c r="M91" s="71"/>
      <c r="N91" s="71"/>
    </row>
    <row r="92" spans="13:14" x14ac:dyDescent="0.25">
      <c r="M92" s="71"/>
      <c r="N92" s="71"/>
    </row>
    <row r="93" spans="13:14" x14ac:dyDescent="0.25">
      <c r="M93" s="71"/>
      <c r="N93" s="71"/>
    </row>
    <row r="94" spans="13:14" x14ac:dyDescent="0.25">
      <c r="M94" s="71"/>
      <c r="N94" s="71"/>
    </row>
    <row r="95" spans="13:14" x14ac:dyDescent="0.25">
      <c r="M95" s="71"/>
      <c r="N95" s="71"/>
    </row>
    <row r="96" spans="13:14" x14ac:dyDescent="0.25">
      <c r="M96" s="71"/>
      <c r="N96" s="71"/>
    </row>
    <row r="97" spans="13:14" x14ac:dyDescent="0.25">
      <c r="M97" s="71"/>
      <c r="N97" s="71"/>
    </row>
  </sheetData>
  <autoFilter ref="A3:P16" xr:uid="{7C6D36E6-FDBF-4BB8-A6F8-7E72BCBE2BBB}"/>
  <sortState xmlns:xlrd2="http://schemas.microsoft.com/office/spreadsheetml/2017/richdata2" ref="A4:P20">
    <sortCondition ref="E4:E20" customList="Weekday,Wk,Saturday,Sat,Sunday,Sun,Sunday/Holiday,Sunday / Holiday,Reduced"/>
    <sortCondition ref="C4:C20"/>
  </sortState>
  <mergeCells count="3">
    <mergeCell ref="A2:P2"/>
    <mergeCell ref="E24:K24"/>
    <mergeCell ref="E31:K31"/>
  </mergeCells>
  <conditionalFormatting sqref="A4:G4 A7:G8 F9:G10 A12:H15">
    <cfRule type="expression" dxfId="9" priority="13">
      <formula>(ROW(A4)-1)/3=ROUND((ROW(A4)-1)/3,0)</formula>
    </cfRule>
  </conditionalFormatting>
  <conditionalFormatting sqref="H7:H10">
    <cfRule type="expression" dxfId="8" priority="19">
      <formula>(ROW(H7)-1)/3=ROUND((ROW(H7)-1)/3,0)</formula>
    </cfRule>
  </conditionalFormatting>
  <conditionalFormatting sqref="L1">
    <cfRule type="cellIs" dxfId="7" priority="22" operator="greaterThan">
      <formula>1.6</formula>
    </cfRule>
  </conditionalFormatting>
  <conditionalFormatting sqref="L4:L22">
    <cfRule type="cellIs" dxfId="6" priority="4" operator="greaterThan">
      <formula>1.6</formula>
    </cfRule>
    <cfRule type="cellIs" dxfId="5" priority="8" operator="between">
      <formula>1.35</formula>
      <formula>1.6</formula>
    </cfRule>
    <cfRule type="cellIs" dxfId="4" priority="9" operator="between">
      <formula>1.2</formula>
      <formula>1.35</formula>
    </cfRule>
  </conditionalFormatting>
  <conditionalFormatting sqref="O4:O16">
    <cfRule type="cellIs" dxfId="3" priority="48" operator="lessThan">
      <formula>$G$30</formula>
    </cfRule>
  </conditionalFormatting>
  <conditionalFormatting sqref="N4:N16">
    <cfRule type="cellIs" dxfId="2" priority="1" operator="lessThan">
      <formula>0.4</formula>
    </cfRule>
    <cfRule type="cellIs" dxfId="1" priority="2" operator="between">
      <formula>0.65</formula>
      <formula>0.4</formula>
    </cfRule>
    <cfRule type="cellIs" dxfId="0" priority="3" operator="between">
      <formula>0.8</formula>
      <formula>0.65</formula>
    </cfRule>
  </conditionalFormatting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1 Commuter &amp; Express Bus</vt:lpstr>
      <vt:lpstr>Table 2 Core Local Bus</vt:lpstr>
      <vt:lpstr>Table 3 Supporting Local Bus</vt:lpstr>
      <vt:lpstr>Table 4 Suburban Local Bus</vt:lpstr>
      <vt:lpstr>Table 5 Arterial BRT</vt:lpstr>
      <vt:lpstr>Table 6 Highway BRT</vt:lpstr>
      <vt:lpstr>Table 7 LRT</vt:lpstr>
      <vt:lpstr>Table 8 Commuter Rail</vt:lpstr>
      <vt:lpstr>Table 9 Microtransit</vt:lpstr>
      <vt:lpstr>Table 10 Dial-a-Ride</vt:lpstr>
      <vt:lpstr>Table 11 Vanpool</vt:lpstr>
      <vt:lpstr>All Routes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Harper, John</dc:creator>
  <cp:lastModifiedBy>Bobbitt, Bradley</cp:lastModifiedBy>
  <dcterms:created xsi:type="dcterms:W3CDTF">2023-11-09T14:29:36Z</dcterms:created>
  <dcterms:modified xsi:type="dcterms:W3CDTF">2024-11-04T22:31:19Z</dcterms:modified>
</cp:coreProperties>
</file>