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https://metcmn-my.sharepoint.com/personal/kristin_hess_metc_state_mn_us/Documents/_TOPOST/"/>
    </mc:Choice>
  </mc:AlternateContent>
  <xr:revisionPtr revIDLastSave="0" documentId="8_{C3CDF321-F8A0-4A9D-8298-27866B94D975}" xr6:coauthVersionLast="43" xr6:coauthVersionMax="43" xr10:uidLastSave="{00000000-0000-0000-0000-000000000000}"/>
  <bookViews>
    <workbookView xWindow="28680" yWindow="-120" windowWidth="29040" windowHeight="15840" xr2:uid="{53B66954-3695-4A8B-A069-449372305C52}"/>
  </bookViews>
  <sheets>
    <sheet name="Notes" sheetId="1" r:id="rId1"/>
    <sheet name="Community Inputs" sheetId="9" r:id="rId2"/>
    <sheet name="Program Setup" sheetId="10" r:id="rId3"/>
    <sheet name="Participation Rate" sheetId="11" r:id="rId4"/>
    <sheet name="Conservation Summary" sheetId="14" r:id="rId5"/>
    <sheet name="Results" sheetId="7" r:id="rId6"/>
    <sheet name="Community Graph" sheetId="13" r:id="rId7"/>
    <sheet name="===&gt; Calculations" sheetId="12" r:id="rId8"/>
    <sheet name="Population" sheetId="2" r:id="rId9"/>
    <sheet name="Demand" sheetId="3" r:id="rId10"/>
    <sheet name="Wells and Costs" sheetId="4" r:id="rId11"/>
    <sheet name="Conservation" sheetId="5" r:id="rId12"/>
    <sheet name="Wells with Cons &amp; Costs" sheetId="6" r:id="rId13"/>
    <sheet name="MPARS INV &amp; Thrive Forecast" sheetId="8" r:id="rId14"/>
  </sheets>
  <definedNames>
    <definedName name="Average_Useful_Life_1">'Program Setup'!#REF!</definedName>
    <definedName name="Average_Useful_Life_10">'Program Setup'!#REF!</definedName>
    <definedName name="Average_Useful_Life_11">'Program Setup'!#REF!</definedName>
    <definedName name="Average_Useful_Life_12">'Program Setup'!#REF!</definedName>
    <definedName name="Average_Useful_Life_13">'Program Setup'!#REF!</definedName>
    <definedName name="Average_Useful_Life_14">'Program Setup'!#REF!</definedName>
    <definedName name="Average_Useful_Life_15">'Program Setup'!#REF!</definedName>
    <definedName name="Average_Useful_Life_2">'Program Setup'!#REF!</definedName>
    <definedName name="Average_Useful_Life_3">'Program Setup'!#REF!</definedName>
    <definedName name="Average_Useful_Life_4">'Program Setup'!#REF!</definedName>
    <definedName name="Average_Useful_Life_5">'Program Setup'!#REF!</definedName>
    <definedName name="Average_Useful_Life_6">'Program Setup'!#REF!</definedName>
    <definedName name="Average_Useful_Life_7">'Program Setup'!#REF!</definedName>
    <definedName name="Average_Useful_Life_8">'Program Setup'!#REF!</definedName>
    <definedName name="Average_Useful_Life_9">'Program Setup'!#REF!</definedName>
    <definedName name="Base1">'Program Setup'!$G$49</definedName>
    <definedName name="Base10">'Program Setup'!$G$247</definedName>
    <definedName name="Base11">'Program Setup'!$G$269</definedName>
    <definedName name="Base12">'Program Setup'!$G$291</definedName>
    <definedName name="Base13">'Program Setup'!$G$313</definedName>
    <definedName name="Base14">'Program Setup'!$G$335</definedName>
    <definedName name="Base15">'Program Setup'!$G$357</definedName>
    <definedName name="Base2">'Program Setup'!$G$71</definedName>
    <definedName name="Base3">'Program Setup'!$G$93</definedName>
    <definedName name="Base4">'Program Setup'!$G$115</definedName>
    <definedName name="Base5">'Program Setup'!$G$137</definedName>
    <definedName name="Base6">'Program Setup'!$G$159</definedName>
    <definedName name="Base7">'Program Setup'!$G$181</definedName>
    <definedName name="Base8">'Program Setup'!$G$203</definedName>
    <definedName name="Base9">'Program Setup'!$G$225</definedName>
    <definedName name="Capacity_Trigger">'Wells and Costs'!$D$4:$D$4</definedName>
    <definedName name="Capacity_Trigger_Conservation">'Wells with Cons &amp; Costs'!$D$4:$D$4</definedName>
    <definedName name="Comm_Conservation">Conservation!$C$20:$AC$20</definedName>
    <definedName name="Comm_Demand">Demand!$C$12:$AC$12</definedName>
    <definedName name="Comm_Inputs">'Community Inputs'!$C$11:$C$11</definedName>
    <definedName name="Communities">'MPARS INV &amp; Thrive Forecast'!$C$6:$C$100</definedName>
    <definedName name="Community">Population!$C$5:$C$5</definedName>
    <definedName name="Cost1">'Program Setup'!$AD$36:$AE$46</definedName>
    <definedName name="Cost10">'Program Setup'!$AD$234:$AE$244</definedName>
    <definedName name="Cost11">'Program Setup'!$AD$256:$AE$266</definedName>
    <definedName name="Cost12">'Program Setup'!$AD$278:$AE$288</definedName>
    <definedName name="Cost13">'Program Setup'!$AD$300:$AE$310</definedName>
    <definedName name="Cost14">'Program Setup'!$AD$322:$AE$332</definedName>
    <definedName name="Cost15">'Program Setup'!$AD$344:$AE$354</definedName>
    <definedName name="Cost2">'Program Setup'!$AD$58:$AE$68</definedName>
    <definedName name="Cost3">'Program Setup'!$AD$80:$AE$90</definedName>
    <definedName name="Cost4">'Program Setup'!$AD$102:$AE$112</definedName>
    <definedName name="Cost5">'Program Setup'!$AD$124:$AE$134</definedName>
    <definedName name="Cost6">'Program Setup'!$AD$146:$AE$156</definedName>
    <definedName name="Cost7">'Program Setup'!$AD$168:$AE$178</definedName>
    <definedName name="Cost8">'Program Setup'!$AD$190:$AE$200</definedName>
    <definedName name="Cost9">'Program Setup'!$AD$212:$AE$222</definedName>
    <definedName name="DataSourceList">'MPARS INV &amp; Thrive Forecast'!$W$6:$W$10</definedName>
    <definedName name="Discount_Rate">Notes!#REF!</definedName>
    <definedName name="Implement_Year">Conservation!$E$20:$E$20</definedName>
    <definedName name="ImplYear1">'Program Setup'!$C$43</definedName>
    <definedName name="ImplYear10">'Program Setup'!$C$241</definedName>
    <definedName name="ImplYear11">'Program Setup'!$C$263</definedName>
    <definedName name="ImplYear12">'Program Setup'!$C$285</definedName>
    <definedName name="ImplYear13">'Program Setup'!$C$307</definedName>
    <definedName name="ImplYear14">'Program Setup'!$C$329</definedName>
    <definedName name="ImplYear15">'Program Setup'!$C$351</definedName>
    <definedName name="ImplYear2">'Program Setup'!$C$65</definedName>
    <definedName name="ImplYear3">'Program Setup'!$C$87</definedName>
    <definedName name="ImplYear4">'Program Setup'!$C$109</definedName>
    <definedName name="ImplYear5">'Program Setup'!$C$131</definedName>
    <definedName name="ImplYear6">'Program Setup'!$C$153</definedName>
    <definedName name="ImplYear7">'Program Setup'!$C$175</definedName>
    <definedName name="ImplYear8">'Program Setup'!$C$197</definedName>
    <definedName name="ImplYear9">'Program Setup'!$C$219</definedName>
    <definedName name="ImplYearsList">Demand!$G$5:$AC$5</definedName>
    <definedName name="O___M">'Wells and Costs'!$E$9:$E$9</definedName>
    <definedName name="Part1">'Program Setup'!$L$36:$L$45</definedName>
    <definedName name="Part10">'Program Setup'!$L$234:$L$243</definedName>
    <definedName name="Part11">'Program Setup'!$L$256:$L$265</definedName>
    <definedName name="Part12">'Program Setup'!$L$278:$L$287</definedName>
    <definedName name="Part13">'Program Setup'!$L$300:$L$309</definedName>
    <definedName name="Part14">'Program Setup'!$L$322:$L$331</definedName>
    <definedName name="Part15">'Program Setup'!$L$344:$L$353</definedName>
    <definedName name="Part2">'Program Setup'!$L$60:$L$69</definedName>
    <definedName name="Part3">'Program Setup'!$L$80:$L$89</definedName>
    <definedName name="Part4">'Program Setup'!$L$101:$L$110</definedName>
    <definedName name="Part5">'Program Setup'!$L$124:$L$133</definedName>
    <definedName name="Part6">'Program Setup'!$L$146:$L$155</definedName>
    <definedName name="Part7">'Program Setup'!$L$168:$L$177</definedName>
    <definedName name="Part8">'Program Setup'!$L$190:$L$199</definedName>
    <definedName name="Part9">'Program Setup'!$L$212:$L$221</definedName>
    <definedName name="Participation_1">'Program Setup'!$L$36:$L$46</definedName>
    <definedName name="Participation_10">'Program Setup'!$L$234:$L$244</definedName>
    <definedName name="Participation_11">'Program Setup'!$L$256:$L$266</definedName>
    <definedName name="Participation_12">'Program Setup'!$L$278:$L$288</definedName>
    <definedName name="Participation_13">'Program Setup'!$L$300:$L$310</definedName>
    <definedName name="Participation_14">'Program Setup'!$L$322:$L$332</definedName>
    <definedName name="Participation_15">'Program Setup'!$L$344:$L$354</definedName>
    <definedName name="Participation_2">'Program Setup'!$L$60:$L$70</definedName>
    <definedName name="Participation_3">'Program Setup'!$L$80:$L$90</definedName>
    <definedName name="Participation_4">'Program Setup'!$L$101:$L$111</definedName>
    <definedName name="Participation_5">'Program Setup'!$L$124:$L$134</definedName>
    <definedName name="Participation_6">'Program Setup'!$L$146:$L$156</definedName>
    <definedName name="Participation_7">'Program Setup'!$L$168:$L$178</definedName>
    <definedName name="Participation_8">'Program Setup'!$L$190:$L$200</definedName>
    <definedName name="Participation_9">'Program Setup'!$L$212:$L$222</definedName>
    <definedName name="PRCT1">'Program Setup'!$H$45</definedName>
    <definedName name="PRCT10">'Program Setup'!$H$243</definedName>
    <definedName name="PRCT11">'Program Setup'!$H$265</definedName>
    <definedName name="PRCT12">'Program Setup'!$H$287</definedName>
    <definedName name="PRCT13">'Program Setup'!$H$309</definedName>
    <definedName name="PRCT14">'Program Setup'!$H$331</definedName>
    <definedName name="PRCT15">'Program Setup'!$H$353</definedName>
    <definedName name="PRCT2">'Program Setup'!$H$67</definedName>
    <definedName name="PRCT3">'Program Setup'!$H$89</definedName>
    <definedName name="PRCT4">'Program Setup'!$H$111</definedName>
    <definedName name="PRCT5">'Program Setup'!$H$133</definedName>
    <definedName name="PRCT6">'Program Setup'!$H$155</definedName>
    <definedName name="PRCT7">'Program Setup'!$H$177</definedName>
    <definedName name="PRCT8">'Program Setup'!$H$199</definedName>
    <definedName name="PRCT9">'Program Setup'!$H$221</definedName>
    <definedName name="Production_Per_Well_Conservation">'Wells with Cons &amp; Costs'!$E$4:$E$4</definedName>
    <definedName name="Production_Per_Well_GPD">'Wells and Costs'!$E$4:$E$4</definedName>
    <definedName name="ProgramLifeTable">'Participation Rate'!$C$11:$E$11</definedName>
    <definedName name="Reduction">'Community Inputs'!#REF!</definedName>
    <definedName name="Reduction_of_Peak">Conservation!$D$20:$D$20</definedName>
    <definedName name="Well_Cost">'Wells and Costs'!$D$9:$D$9</definedName>
    <definedName name="Year">Conservation!$F$19:$AC$19</definedName>
    <definedName name="Years">Conservation!$G$19:$AC$19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4" l="1"/>
  <c r="H11" i="9" l="1"/>
  <c r="D11" i="9"/>
  <c r="F4" i="6" l="1"/>
  <c r="F4" i="4" l="1"/>
  <c r="D4" i="5" l="1"/>
  <c r="E11" i="11"/>
  <c r="C11" i="11" l="1"/>
  <c r="AB33" i="10"/>
  <c r="D4" i="14" s="1"/>
  <c r="K46" i="10" l="1"/>
  <c r="E11" i="9" l="1"/>
  <c r="AD46" i="10"/>
  <c r="D4" i="4" l="1"/>
  <c r="D4" i="6" s="1"/>
  <c r="C31" i="10"/>
  <c r="G47" i="10" s="1"/>
  <c r="AB41" i="10"/>
  <c r="H4" i="14" s="1"/>
  <c r="AB39" i="10"/>
  <c r="G4" i="14" s="1"/>
  <c r="AB37" i="10"/>
  <c r="F4" i="14" s="1"/>
  <c r="AB35" i="10"/>
  <c r="E4" i="14" s="1"/>
  <c r="G44" i="10" l="1"/>
  <c r="H45" i="10"/>
  <c r="G11" i="11" s="1"/>
  <c r="G46" i="10"/>
  <c r="D12" i="5" l="1"/>
  <c r="L46" i="10"/>
  <c r="G50" i="10"/>
  <c r="G48" i="10"/>
  <c r="E9" i="4"/>
  <c r="G51" i="10" l="1"/>
  <c r="K45" i="10" s="1"/>
  <c r="AE45" i="10" s="1"/>
  <c r="C5" i="2"/>
  <c r="C4" i="14" s="1"/>
  <c r="C4" i="5" l="1"/>
  <c r="E4" i="5" s="1"/>
  <c r="C8" i="5"/>
  <c r="C12" i="5"/>
  <c r="E12" i="5" s="1"/>
  <c r="K38" i="10"/>
  <c r="AE38" i="10" s="1"/>
  <c r="K37" i="10"/>
  <c r="AE37" i="10" s="1"/>
  <c r="K44" i="10"/>
  <c r="AE44" i="10" s="1"/>
  <c r="K42" i="10"/>
  <c r="AE42" i="10" s="1"/>
  <c r="K40" i="10"/>
  <c r="AE40" i="10" s="1"/>
  <c r="K36" i="10"/>
  <c r="AE36" i="10" s="1"/>
  <c r="AD36" i="10" s="1"/>
  <c r="K43" i="10"/>
  <c r="AE43" i="10" s="1"/>
  <c r="K39" i="10"/>
  <c r="AE39" i="10" s="1"/>
  <c r="K41" i="10"/>
  <c r="AE41" i="10" s="1"/>
  <c r="C20" i="5"/>
  <c r="C6" i="3"/>
  <c r="E6" i="3" s="1"/>
  <c r="L36" i="10" l="1"/>
  <c r="F12" i="5"/>
  <c r="AA4" i="5"/>
  <c r="AA25" i="5" s="1"/>
  <c r="W4" i="5"/>
  <c r="Y4" i="5"/>
  <c r="Y25" i="5" s="1"/>
  <c r="AB4" i="5"/>
  <c r="AB25" i="5" s="1"/>
  <c r="S4" i="5"/>
  <c r="G4" i="5"/>
  <c r="M4" i="5"/>
  <c r="P4" i="5"/>
  <c r="L4" i="5"/>
  <c r="V4" i="5"/>
  <c r="K4" i="5"/>
  <c r="U4" i="5"/>
  <c r="Q4" i="5"/>
  <c r="O4" i="5"/>
  <c r="R4" i="5"/>
  <c r="Z4" i="5"/>
  <c r="Z25" i="5" s="1"/>
  <c r="N4" i="5"/>
  <c r="H4" i="5"/>
  <c r="AC4" i="5"/>
  <c r="AC25" i="5" s="1"/>
  <c r="F4" i="5"/>
  <c r="F25" i="5" s="1"/>
  <c r="J4" i="5"/>
  <c r="T4" i="5"/>
  <c r="I4" i="5"/>
  <c r="X4" i="5"/>
  <c r="X25" i="5" s="1"/>
  <c r="C25" i="5"/>
  <c r="C30" i="5" s="1"/>
  <c r="AD39" i="10"/>
  <c r="L39" i="10" s="1"/>
  <c r="AD45" i="10"/>
  <c r="L45" i="10" s="1"/>
  <c r="AD37" i="10"/>
  <c r="L37" i="10" s="1"/>
  <c r="AD43" i="10"/>
  <c r="L43" i="10" s="1"/>
  <c r="AD41" i="10"/>
  <c r="L41" i="10" s="1"/>
  <c r="AD38" i="10"/>
  <c r="L38" i="10" s="1"/>
  <c r="AD40" i="10"/>
  <c r="L40" i="10" s="1"/>
  <c r="AD44" i="10"/>
  <c r="L44" i="10" s="1"/>
  <c r="AD42" i="10"/>
  <c r="L42" i="10" s="1"/>
  <c r="D6" i="3"/>
  <c r="F6" i="3" s="1"/>
  <c r="G6" i="3" s="1"/>
  <c r="H6" i="3" s="1"/>
  <c r="I6" i="3" s="1"/>
  <c r="J6" i="3" s="1"/>
  <c r="K6" i="3" s="1"/>
  <c r="L6" i="3" s="1"/>
  <c r="M6" i="3" s="1"/>
  <c r="N6" i="3" s="1"/>
  <c r="O6" i="3" s="1"/>
  <c r="P6" i="3" s="1"/>
  <c r="Q6" i="3" s="1"/>
  <c r="R6" i="3" s="1"/>
  <c r="S6" i="3" s="1"/>
  <c r="T6" i="3" s="1"/>
  <c r="U6" i="3" s="1"/>
  <c r="V6" i="3" s="1"/>
  <c r="W6" i="3" s="1"/>
  <c r="X6" i="3" s="1"/>
  <c r="Y6" i="3" s="1"/>
  <c r="Z6" i="3" s="1"/>
  <c r="AA6" i="3" s="1"/>
  <c r="AB6" i="3" s="1"/>
  <c r="AC6" i="3" s="1"/>
  <c r="C12" i="3"/>
  <c r="E9" i="6"/>
  <c r="D9" i="6"/>
  <c r="G5" i="2"/>
  <c r="F5" i="2"/>
  <c r="E5" i="2"/>
  <c r="D5" i="2"/>
  <c r="C5" i="7"/>
  <c r="C9" i="6"/>
  <c r="C4" i="6"/>
  <c r="C9" i="4"/>
  <c r="C4" i="4"/>
  <c r="G8" i="5" l="1"/>
  <c r="H8" i="5" s="1"/>
  <c r="AD4" i="5"/>
  <c r="D25" i="5"/>
  <c r="Q25" i="5" s="1"/>
  <c r="D12" i="3"/>
  <c r="AD6" i="3" l="1"/>
  <c r="S25" i="5"/>
  <c r="G25" i="5"/>
  <c r="T25" i="5"/>
  <c r="J25" i="5"/>
  <c r="K25" i="5"/>
  <c r="W25" i="5"/>
  <c r="U25" i="5"/>
  <c r="O25" i="5"/>
  <c r="R25" i="5"/>
  <c r="L25" i="5"/>
  <c r="H25" i="5"/>
  <c r="I25" i="5"/>
  <c r="N25" i="5"/>
  <c r="V25" i="5"/>
  <c r="M25" i="5"/>
  <c r="P25" i="5"/>
  <c r="I8" i="5"/>
  <c r="J8" i="5" s="1"/>
  <c r="K8" i="5" s="1"/>
  <c r="L8" i="5" s="1"/>
  <c r="M8" i="5" s="1"/>
  <c r="N8" i="5" s="1"/>
  <c r="O8" i="5" s="1"/>
  <c r="P8" i="5" s="1"/>
  <c r="Q8" i="5" s="1"/>
  <c r="R8" i="5" s="1"/>
  <c r="S8" i="5" s="1"/>
  <c r="T8" i="5" s="1"/>
  <c r="U8" i="5" s="1"/>
  <c r="V8" i="5" s="1"/>
  <c r="W8" i="5" s="1"/>
  <c r="X8" i="5" s="1"/>
  <c r="Y8" i="5" s="1"/>
  <c r="Z8" i="5" s="1"/>
  <c r="AA8" i="5" s="1"/>
  <c r="AB8" i="5" s="1"/>
  <c r="AC8" i="5" s="1"/>
  <c r="H12" i="5"/>
  <c r="G12" i="5"/>
  <c r="J12" i="5" l="1"/>
  <c r="I12" i="5"/>
  <c r="K12" i="5" l="1"/>
  <c r="AE5" i="2"/>
  <c r="AD5" i="2"/>
  <c r="AC5" i="2"/>
  <c r="AB5" i="2"/>
  <c r="AA5" i="2"/>
  <c r="Z5" i="2"/>
  <c r="Y5" i="2"/>
  <c r="X5" i="2"/>
  <c r="W5" i="2"/>
  <c r="V5" i="2"/>
  <c r="U5" i="2"/>
  <c r="T5" i="2"/>
  <c r="S5" i="2"/>
  <c r="R5" i="2"/>
  <c r="Q5" i="2"/>
  <c r="P5" i="2"/>
  <c r="O5" i="2"/>
  <c r="N5" i="2"/>
  <c r="M5" i="2"/>
  <c r="L5" i="2"/>
  <c r="J20" i="5" s="1"/>
  <c r="K5" i="2"/>
  <c r="I20" i="5" s="1"/>
  <c r="J5" i="2"/>
  <c r="H20" i="5" s="1"/>
  <c r="I5" i="2"/>
  <c r="G20" i="5" s="1"/>
  <c r="H5" i="2"/>
  <c r="F12" i="3" s="1"/>
  <c r="AF5" i="2" l="1"/>
  <c r="E4" i="4"/>
  <c r="E4" i="6" s="1"/>
  <c r="L12" i="5"/>
  <c r="L20" i="5" s="1"/>
  <c r="G6" i="13"/>
  <c r="F6" i="13"/>
  <c r="E6" i="13"/>
  <c r="K20" i="5"/>
  <c r="G12" i="3"/>
  <c r="O12" i="3"/>
  <c r="S12" i="3"/>
  <c r="AA12" i="3"/>
  <c r="H12" i="3"/>
  <c r="P12" i="3"/>
  <c r="T12" i="3"/>
  <c r="AB12" i="3"/>
  <c r="I12" i="3"/>
  <c r="I30" i="5" s="1"/>
  <c r="M12" i="3"/>
  <c r="Q12" i="3"/>
  <c r="U12" i="3"/>
  <c r="Y12" i="3"/>
  <c r="J12" i="3"/>
  <c r="J30" i="5" s="1"/>
  <c r="N12" i="3"/>
  <c r="R12" i="3"/>
  <c r="V12" i="3"/>
  <c r="Z12" i="3"/>
  <c r="K12" i="3"/>
  <c r="W12" i="3"/>
  <c r="L12" i="3"/>
  <c r="X12" i="3"/>
  <c r="AC12" i="3"/>
  <c r="AD12" i="3" s="1"/>
  <c r="AE12" i="3" s="1"/>
  <c r="D5" i="13"/>
  <c r="F20" i="5"/>
  <c r="F30" i="5" s="1"/>
  <c r="H4" i="4" l="1"/>
  <c r="I4" i="4" s="1"/>
  <c r="J4" i="4" s="1"/>
  <c r="K4" i="4" s="1"/>
  <c r="L4" i="4" s="1"/>
  <c r="M4" i="4" s="1"/>
  <c r="N4" i="4" s="1"/>
  <c r="O4" i="4" s="1"/>
  <c r="P4" i="4" s="1"/>
  <c r="Q4" i="4" s="1"/>
  <c r="R4" i="4" s="1"/>
  <c r="S4" i="4" s="1"/>
  <c r="T4" i="4" s="1"/>
  <c r="U4" i="4" s="1"/>
  <c r="V4" i="4" s="1"/>
  <c r="W4" i="4" s="1"/>
  <c r="X4" i="4" s="1"/>
  <c r="Y4" i="4" s="1"/>
  <c r="Z4" i="4" s="1"/>
  <c r="AA4" i="4" s="1"/>
  <c r="AB4" i="4" s="1"/>
  <c r="AC4" i="4" s="1"/>
  <c r="AD4" i="4" s="1"/>
  <c r="H4" i="6"/>
  <c r="H9" i="6" s="1"/>
  <c r="K30" i="5"/>
  <c r="H30" i="5"/>
  <c r="L30" i="5"/>
  <c r="G30" i="5"/>
  <c r="U5" i="13"/>
  <c r="M5" i="13"/>
  <c r="O5" i="13"/>
  <c r="G5" i="13"/>
  <c r="G7" i="13" s="1"/>
  <c r="H5" i="13"/>
  <c r="X5" i="13"/>
  <c r="P5" i="13"/>
  <c r="K5" i="13"/>
  <c r="H6" i="13"/>
  <c r="E5" i="13"/>
  <c r="E7" i="13" s="1"/>
  <c r="J5" i="13"/>
  <c r="I5" i="13"/>
  <c r="T5" i="13"/>
  <c r="S5" i="13"/>
  <c r="M12" i="5"/>
  <c r="M20" i="5" s="1"/>
  <c r="M30" i="5" s="1"/>
  <c r="Z5" i="13"/>
  <c r="R5" i="13"/>
  <c r="I6" i="13"/>
  <c r="Q5" i="13"/>
  <c r="W5" i="13"/>
  <c r="L5" i="13"/>
  <c r="F5" i="13"/>
  <c r="F7" i="13" s="1"/>
  <c r="Y5" i="13"/>
  <c r="N5" i="13"/>
  <c r="V5" i="13"/>
  <c r="AA5" i="13"/>
  <c r="D6" i="13"/>
  <c r="AD20" i="5"/>
  <c r="E25" i="5"/>
  <c r="D11" i="13" l="1"/>
  <c r="D10" i="13"/>
  <c r="I4" i="6"/>
  <c r="J4" i="6" s="1"/>
  <c r="K4" i="6" s="1"/>
  <c r="L4" i="6" s="1"/>
  <c r="M4" i="6" s="1"/>
  <c r="N4" i="6" s="1"/>
  <c r="J9" i="4"/>
  <c r="H9" i="4"/>
  <c r="I9" i="4"/>
  <c r="G5" i="7"/>
  <c r="H7" i="13"/>
  <c r="J6" i="13"/>
  <c r="J7" i="13" s="1"/>
  <c r="I7" i="13"/>
  <c r="N12" i="5"/>
  <c r="N20" i="5" s="1"/>
  <c r="N30" i="5" s="1"/>
  <c r="D7" i="13"/>
  <c r="E10" i="13" l="1"/>
  <c r="E11" i="13"/>
  <c r="I9" i="6"/>
  <c r="O4" i="6"/>
  <c r="J9" i="6"/>
  <c r="K9" i="4"/>
  <c r="K9" i="6"/>
  <c r="K6" i="13"/>
  <c r="K7" i="13" s="1"/>
  <c r="O12" i="5"/>
  <c r="O20" i="5" s="1"/>
  <c r="O30" i="5" s="1"/>
  <c r="P12" i="5"/>
  <c r="F10" i="13" l="1"/>
  <c r="F11" i="13"/>
  <c r="P4" i="6"/>
  <c r="L9" i="4"/>
  <c r="L9" i="6"/>
  <c r="L6" i="13"/>
  <c r="L7" i="13" s="1"/>
  <c r="Q12" i="5"/>
  <c r="P20" i="5"/>
  <c r="P30" i="5" s="1"/>
  <c r="G10" i="13" l="1"/>
  <c r="G11" i="13"/>
  <c r="Q4" i="6"/>
  <c r="M9" i="4"/>
  <c r="M9" i="6"/>
  <c r="M6" i="13"/>
  <c r="M7" i="13" s="1"/>
  <c r="R12" i="5"/>
  <c r="Q20" i="5"/>
  <c r="Q30" i="5" s="1"/>
  <c r="H10" i="13" l="1"/>
  <c r="H11" i="13"/>
  <c r="R4" i="6"/>
  <c r="N9" i="4"/>
  <c r="N9" i="6"/>
  <c r="N6" i="13"/>
  <c r="N7" i="13" s="1"/>
  <c r="S12" i="5"/>
  <c r="R20" i="5"/>
  <c r="R30" i="5" s="1"/>
  <c r="I10" i="13" l="1"/>
  <c r="I11" i="13"/>
  <c r="S4" i="6"/>
  <c r="O9" i="4"/>
  <c r="O9" i="6"/>
  <c r="O6" i="13"/>
  <c r="O7" i="13" s="1"/>
  <c r="T12" i="5"/>
  <c r="S20" i="5"/>
  <c r="S30" i="5" s="1"/>
  <c r="J10" i="13" l="1"/>
  <c r="J11" i="13"/>
  <c r="T4" i="6"/>
  <c r="P9" i="4"/>
  <c r="P9" i="6"/>
  <c r="P6" i="13"/>
  <c r="P7" i="13" s="1"/>
  <c r="U12" i="5"/>
  <c r="T20" i="5"/>
  <c r="T30" i="5" s="1"/>
  <c r="K10" i="13" l="1"/>
  <c r="K11" i="13"/>
  <c r="U4" i="6"/>
  <c r="Q9" i="4"/>
  <c r="Q9" i="6"/>
  <c r="Q6" i="13"/>
  <c r="Q7" i="13" s="1"/>
  <c r="V12" i="5"/>
  <c r="U20" i="5"/>
  <c r="U30" i="5" s="1"/>
  <c r="L10" i="13" l="1"/>
  <c r="L11" i="13"/>
  <c r="V4" i="6"/>
  <c r="R9" i="4"/>
  <c r="R9" i="6"/>
  <c r="R6" i="13"/>
  <c r="R7" i="13" s="1"/>
  <c r="W12" i="5"/>
  <c r="V20" i="5"/>
  <c r="V30" i="5" s="1"/>
  <c r="M10" i="13" l="1"/>
  <c r="M11" i="13"/>
  <c r="W4" i="6"/>
  <c r="S9" i="4"/>
  <c r="S9" i="6"/>
  <c r="S6" i="13"/>
  <c r="S7" i="13" s="1"/>
  <c r="X12" i="5"/>
  <c r="W20" i="5"/>
  <c r="W30" i="5" s="1"/>
  <c r="N10" i="13" l="1"/>
  <c r="N11" i="13"/>
  <c r="X4" i="6"/>
  <c r="T9" i="4"/>
  <c r="T9" i="6"/>
  <c r="T6" i="13"/>
  <c r="T7" i="13" s="1"/>
  <c r="Y12" i="5"/>
  <c r="X20" i="5"/>
  <c r="X30" i="5" s="1"/>
  <c r="O10" i="13" l="1"/>
  <c r="O11" i="13"/>
  <c r="Y4" i="6"/>
  <c r="U9" i="4"/>
  <c r="U9" i="6"/>
  <c r="U6" i="13"/>
  <c r="U7" i="13" s="1"/>
  <c r="Z12" i="5"/>
  <c r="Y20" i="5"/>
  <c r="Y30" i="5" s="1"/>
  <c r="P10" i="13" l="1"/>
  <c r="P11" i="13"/>
  <c r="Z4" i="6"/>
  <c r="V9" i="4"/>
  <c r="V9" i="6"/>
  <c r="V6" i="13"/>
  <c r="V7" i="13" s="1"/>
  <c r="AA12" i="5"/>
  <c r="Z20" i="5"/>
  <c r="Z30" i="5" s="1"/>
  <c r="Q10" i="13" l="1"/>
  <c r="Q11" i="13"/>
  <c r="AA4" i="6"/>
  <c r="W9" i="4"/>
  <c r="W9" i="6"/>
  <c r="W6" i="13"/>
  <c r="W7" i="13" s="1"/>
  <c r="AB12" i="5"/>
  <c r="AA20" i="5"/>
  <c r="AA30" i="5" s="1"/>
  <c r="R10" i="13" l="1"/>
  <c r="R11" i="13"/>
  <c r="AB4" i="6"/>
  <c r="X9" i="4"/>
  <c r="X9" i="6"/>
  <c r="X6" i="13"/>
  <c r="X7" i="13" s="1"/>
  <c r="AB20" i="5"/>
  <c r="AB30" i="5" s="1"/>
  <c r="S10" i="13" l="1"/>
  <c r="S11" i="13"/>
  <c r="AC4" i="6"/>
  <c r="Y9" i="4"/>
  <c r="Y9" i="6"/>
  <c r="Y6" i="13"/>
  <c r="Y7" i="13" s="1"/>
  <c r="AC12" i="5"/>
  <c r="AC20" i="5" s="1"/>
  <c r="T10" i="13" l="1"/>
  <c r="T11" i="13"/>
  <c r="AD4" i="6"/>
  <c r="AE20" i="5"/>
  <c r="AG20" i="5"/>
  <c r="AC30" i="5"/>
  <c r="E30" i="5" s="1"/>
  <c r="D30" i="5" s="1"/>
  <c r="AF20" i="5"/>
  <c r="Z9" i="4"/>
  <c r="Z9" i="6"/>
  <c r="Z6" i="13"/>
  <c r="Z7" i="13" s="1"/>
  <c r="U10" i="13" l="1"/>
  <c r="U11" i="13"/>
  <c r="AA9" i="4"/>
  <c r="AA9" i="6"/>
  <c r="AA6" i="13"/>
  <c r="AA7" i="13" s="1"/>
  <c r="V10" i="13" l="1"/>
  <c r="V11" i="13"/>
  <c r="AF21" i="5"/>
  <c r="AB9" i="4"/>
  <c r="AB9" i="6"/>
  <c r="W10" i="13" l="1"/>
  <c r="W11" i="13"/>
  <c r="D5" i="7"/>
  <c r="AC9" i="4"/>
  <c r="AC9" i="6"/>
  <c r="X10" i="13" l="1"/>
  <c r="X11" i="13"/>
  <c r="AE4" i="6"/>
  <c r="AF4" i="6" s="1"/>
  <c r="AD9" i="4"/>
  <c r="F9" i="4" s="1"/>
  <c r="E5" i="7" s="1"/>
  <c r="AE4" i="4"/>
  <c r="AD9" i="6"/>
  <c r="F5" i="7"/>
  <c r="J5" i="7" s="1"/>
  <c r="Y10" i="13" l="1"/>
  <c r="Y11" i="13"/>
  <c r="F9" i="6"/>
  <c r="H5" i="7" s="1"/>
  <c r="I5" i="7" s="1"/>
  <c r="K5" i="7" s="1"/>
  <c r="Z10" i="13" l="1"/>
  <c r="Z11" i="13"/>
  <c r="AA10" i="13" l="1"/>
  <c r="AA11" i="13"/>
  <c r="L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Brian</author>
  </authors>
  <commentList>
    <comment ref="G49" authorId="0" shapeId="0" xr:uid="{CC48826D-6F45-4D2B-804A-AFDD69908C87}">
      <text>
        <r>
          <rPr>
            <b/>
            <sz val="9"/>
            <color indexed="81"/>
            <rFont val="Tahoma"/>
            <family val="2"/>
          </rPr>
          <t>Davis, Brian:</t>
        </r>
        <r>
          <rPr>
            <sz val="9"/>
            <color indexed="81"/>
            <rFont val="Tahoma"/>
            <family val="2"/>
          </rPr>
          <t xml:space="preserve">
If the Base Rate is changed, the Participation Rate on the next worksheet must be re-set.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William Y.</author>
  </authors>
  <commentList>
    <comment ref="G5" authorId="0" shapeId="0" xr:uid="{0A0CED8C-60DD-44AF-B770-EDC6147701FC}">
      <text>
        <r>
          <rPr>
            <b/>
            <sz val="9"/>
            <color indexed="81"/>
            <rFont val="Tahoma"/>
            <family val="2"/>
          </rPr>
          <t>Davis, William Y.:</t>
        </r>
        <r>
          <rPr>
            <sz val="9"/>
            <color indexed="81"/>
            <rFont val="Tahoma"/>
            <family val="2"/>
          </rPr>
          <t xml:space="preserve">
derived from MPARS residential gallons delivered and pop served 2013 - 2016</t>
        </r>
      </text>
    </comment>
    <comment ref="O5" authorId="0" shapeId="0" xr:uid="{6FA7A9AE-1243-48C7-AA61-23D9E2F52FD2}">
      <text>
        <r>
          <rPr>
            <b/>
            <sz val="9"/>
            <color indexed="81"/>
            <rFont val="Tahoma"/>
            <family val="2"/>
          </rPr>
          <t>Davis, William Y.:</t>
        </r>
        <r>
          <rPr>
            <sz val="9"/>
            <color indexed="81"/>
            <rFont val="Tahoma"/>
            <family val="2"/>
          </rPr>
          <t xml:space="preserve">
from MPARS Monthly data (total withdrawals)</t>
        </r>
      </text>
    </comment>
    <comment ref="P5" authorId="0" shapeId="0" xr:uid="{B1B368F0-C531-4573-B1C7-275C53409FF0}">
      <text>
        <r>
          <rPr>
            <b/>
            <sz val="9"/>
            <color indexed="81"/>
            <rFont val="Tahoma"/>
            <family val="2"/>
          </rPr>
          <t>Davis, William Y.:</t>
        </r>
        <r>
          <rPr>
            <sz val="9"/>
            <color indexed="81"/>
            <rFont val="Tahoma"/>
            <family val="2"/>
          </rPr>
          <t xml:space="preserve">
from MPARS Monthly data (total withdrawals)</t>
        </r>
      </text>
    </comment>
    <comment ref="Q5" authorId="0" shapeId="0" xr:uid="{555C9E11-6648-4471-B2B0-24262D5B883C}">
      <text>
        <r>
          <rPr>
            <b/>
            <sz val="9"/>
            <color indexed="81"/>
            <rFont val="Tahoma"/>
            <family val="2"/>
          </rPr>
          <t>Davis, William Y.:</t>
        </r>
        <r>
          <rPr>
            <sz val="9"/>
            <color indexed="81"/>
            <rFont val="Tahoma"/>
            <family val="2"/>
          </rPr>
          <t xml:space="preserve">
from MPARS Monthly data (total withdrawals)</t>
        </r>
      </text>
    </comment>
    <comment ref="S5" authorId="0" shapeId="0" xr:uid="{71EBCB4F-7B29-48EB-A319-4B560F2CBEB2}">
      <text>
        <r>
          <rPr>
            <b/>
            <sz val="9"/>
            <color indexed="81"/>
            <rFont val="Tahoma"/>
            <family val="2"/>
          </rPr>
          <t>Davis, William Y.:</t>
        </r>
        <r>
          <rPr>
            <sz val="9"/>
            <color indexed="81"/>
            <rFont val="Tahoma"/>
            <family val="2"/>
          </rPr>
          <t xml:space="preserve">
recomputed but identical to number of wells (facilities) by PWS in MDH</t>
        </r>
      </text>
    </comment>
  </commentList>
</comments>
</file>

<file path=xl/sharedStrings.xml><?xml version="1.0" encoding="utf-8"?>
<sst xmlns="http://schemas.openxmlformats.org/spreadsheetml/2006/main" count="647" uniqueCount="492">
  <si>
    <t>Community</t>
  </si>
  <si>
    <t>Population</t>
  </si>
  <si>
    <t>Andover, City of</t>
  </si>
  <si>
    <t>Empire Township</t>
  </si>
  <si>
    <t>Carver, City of</t>
  </si>
  <si>
    <t>Shorewood, City of</t>
  </si>
  <si>
    <t>Average RES GPCD</t>
  </si>
  <si>
    <t>Peak Month to Winter Ratio</t>
  </si>
  <si>
    <t>Well Cost</t>
  </si>
  <si>
    <t>O &amp; M</t>
  </si>
  <si>
    <t>Discount Cost</t>
  </si>
  <si>
    <t>% Reduction of Peak</t>
  </si>
  <si>
    <t>Cost Per Year</t>
  </si>
  <si>
    <t>Cost</t>
  </si>
  <si>
    <t>Discount Well Cost</t>
  </si>
  <si>
    <t>Total Discount Cost</t>
  </si>
  <si>
    <t>Without Conservation</t>
  </si>
  <si>
    <t>With Irrigation Conservation</t>
  </si>
  <si>
    <t>Discount Rate</t>
  </si>
  <si>
    <t>Rank by Savings from Conservation</t>
  </si>
  <si>
    <t>Difference (Savings from Implementation)</t>
  </si>
  <si>
    <t>Tab</t>
  </si>
  <si>
    <t>Demand</t>
  </si>
  <si>
    <t>Wells and Costs</t>
  </si>
  <si>
    <t>Conservation</t>
  </si>
  <si>
    <t>Wells with Cons &amp; Costs</t>
  </si>
  <si>
    <t>Notes</t>
  </si>
  <si>
    <t>from MPARS_Inventory</t>
  </si>
  <si>
    <t>from Thrive-MSP-Forecasts-(January-2017)</t>
  </si>
  <si>
    <t>Average Population Served</t>
  </si>
  <si>
    <t>Average %RES by Vol</t>
  </si>
  <si>
    <t>Growth Rate</t>
  </si>
  <si>
    <t>Change 2010-2040</t>
  </si>
  <si>
    <t>Permit Number</t>
  </si>
  <si>
    <t>MPARS Name</t>
  </si>
  <si>
    <t>County</t>
  </si>
  <si>
    <t>Pop Name</t>
  </si>
  <si>
    <t>1987-6059</t>
  </si>
  <si>
    <t>Anoka</t>
  </si>
  <si>
    <t>Andover</t>
  </si>
  <si>
    <t>1964-0526</t>
  </si>
  <si>
    <t>Washington</t>
  </si>
  <si>
    <t>Bayport</t>
  </si>
  <si>
    <t>1980-6176</t>
  </si>
  <si>
    <t>Scott</t>
  </si>
  <si>
    <t>Belle Plaine</t>
  </si>
  <si>
    <t>1976-6227</t>
  </si>
  <si>
    <t>Blaine, City of</t>
  </si>
  <si>
    <t>Blaine</t>
  </si>
  <si>
    <t>1976-6396</t>
  </si>
  <si>
    <t>Brooklyn Center, City of</t>
  </si>
  <si>
    <t>Hennepin</t>
  </si>
  <si>
    <t>Brooklyn Center</t>
  </si>
  <si>
    <t>1976-6046</t>
  </si>
  <si>
    <t>Brooklyn Park</t>
  </si>
  <si>
    <t>1974-5014</t>
  </si>
  <si>
    <t>Dakota</t>
  </si>
  <si>
    <t>Burnsville</t>
  </si>
  <si>
    <t>1987-6004</t>
  </si>
  <si>
    <t>Carver</t>
  </si>
  <si>
    <t>1991-6246</t>
  </si>
  <si>
    <t xml:space="preserve">Centerville, City of </t>
  </si>
  <si>
    <t>Centerville</t>
  </si>
  <si>
    <t>1979-6303</t>
  </si>
  <si>
    <t>Champlin, City of</t>
  </si>
  <si>
    <t>Champlin</t>
  </si>
  <si>
    <t>1981-6089</t>
  </si>
  <si>
    <t>Chanhassen</t>
  </si>
  <si>
    <t>1975-6124</t>
  </si>
  <si>
    <t>Chaska, City of</t>
  </si>
  <si>
    <t>Chaska **</t>
  </si>
  <si>
    <t>1959-0782</t>
  </si>
  <si>
    <t>Circle Pines, City of</t>
  </si>
  <si>
    <t>Circle Pines</t>
  </si>
  <si>
    <t>1976-6187</t>
  </si>
  <si>
    <t>1974-5229</t>
  </si>
  <si>
    <t>Apple Valley</t>
  </si>
  <si>
    <t>1973-1429</t>
  </si>
  <si>
    <t>Bloomington **</t>
  </si>
  <si>
    <t>1978-6010</t>
  </si>
  <si>
    <t>Eagan *</t>
  </si>
  <si>
    <t>1978-6175</t>
  </si>
  <si>
    <t>Eden Prairie</t>
  </si>
  <si>
    <t>1973-1119</t>
  </si>
  <si>
    <t>Edina **</t>
  </si>
  <si>
    <t>1975-6158</t>
  </si>
  <si>
    <t>Maple Grove</t>
  </si>
  <si>
    <t>1973-1021</t>
  </si>
  <si>
    <t>Mound</t>
  </si>
  <si>
    <t>1978-6376</t>
  </si>
  <si>
    <t>Plymouth</t>
  </si>
  <si>
    <t>1975-6216</t>
  </si>
  <si>
    <t>Robbinsdale **</t>
  </si>
  <si>
    <t>1979-6313</t>
  </si>
  <si>
    <t>Tonka Bay **</t>
  </si>
  <si>
    <t>1969-0174</t>
  </si>
  <si>
    <t>Ramsey/Washington</t>
  </si>
  <si>
    <t>White Bear Lake</t>
  </si>
  <si>
    <t>1979-6319</t>
  </si>
  <si>
    <t>Cologne</t>
  </si>
  <si>
    <t>1980-6139</t>
  </si>
  <si>
    <t>Coon Rapids</t>
  </si>
  <si>
    <t>1977-6349</t>
  </si>
  <si>
    <t>Cottage Grove</t>
  </si>
  <si>
    <t>2001-6076</t>
  </si>
  <si>
    <t>Dayton</t>
  </si>
  <si>
    <t>1984-6141</t>
  </si>
  <si>
    <t>Elko New Market *</t>
  </si>
  <si>
    <t>1980-6194</t>
  </si>
  <si>
    <t>1975-6164</t>
  </si>
  <si>
    <t>Excelsior</t>
  </si>
  <si>
    <t>1959-0725</t>
  </si>
  <si>
    <t>Farmington, City of</t>
  </si>
  <si>
    <t>Farmington</t>
  </si>
  <si>
    <t>1965-0815</t>
  </si>
  <si>
    <t>Forest Lake</t>
  </si>
  <si>
    <t>1975-6244</t>
  </si>
  <si>
    <t>Fridley **</t>
  </si>
  <si>
    <t>2002-6101</t>
  </si>
  <si>
    <t>Greenfield</t>
  </si>
  <si>
    <t>1975-6194</t>
  </si>
  <si>
    <t>Hastings</t>
  </si>
  <si>
    <t>1975-6245</t>
  </si>
  <si>
    <t>Hopkins **</t>
  </si>
  <si>
    <t>1975-6218</t>
  </si>
  <si>
    <t>Hugo</t>
  </si>
  <si>
    <t>1980-6052</t>
  </si>
  <si>
    <t>Inver Grove Heights, City of</t>
  </si>
  <si>
    <t>Inver Grove Heights</t>
  </si>
  <si>
    <t>1980-6175</t>
  </si>
  <si>
    <t>Jordan, City of</t>
  </si>
  <si>
    <t>Jordan</t>
  </si>
  <si>
    <t>1961-1031</t>
  </si>
  <si>
    <t>Lake Elmo</t>
  </si>
  <si>
    <t>1991-6039</t>
  </si>
  <si>
    <t>Lakeland, City of</t>
  </si>
  <si>
    <t>Lakeland</t>
  </si>
  <si>
    <t>1980-6107</t>
  </si>
  <si>
    <t>Lakeville, City of</t>
  </si>
  <si>
    <t>Lakeville</t>
  </si>
  <si>
    <t>1966-0584</t>
  </si>
  <si>
    <t>Lexington</t>
  </si>
  <si>
    <t>1985-6168</t>
  </si>
  <si>
    <t>Lino Lakes</t>
  </si>
  <si>
    <t>1965-0980</t>
  </si>
  <si>
    <t>Long Lake, City of</t>
  </si>
  <si>
    <t>Long Lake</t>
  </si>
  <si>
    <t>1975-6217</t>
  </si>
  <si>
    <t>Loretto, City of</t>
  </si>
  <si>
    <t>Loretto</t>
  </si>
  <si>
    <t>1969-0163</t>
  </si>
  <si>
    <t>Mahtomedi, City of</t>
  </si>
  <si>
    <t>Mahtomedi</t>
  </si>
  <si>
    <t>1977-6403</t>
  </si>
  <si>
    <t>Maple Plain</t>
  </si>
  <si>
    <t>2010-0361</t>
  </si>
  <si>
    <t>Marine on St. Croix</t>
  </si>
  <si>
    <t>1962-0705</t>
  </si>
  <si>
    <t>Mayer</t>
  </si>
  <si>
    <t>1983-6007</t>
  </si>
  <si>
    <t>Medina</t>
  </si>
  <si>
    <t>1984-6128</t>
  </si>
  <si>
    <t>Minnetonka Beach **</t>
  </si>
  <si>
    <t>1979-6207</t>
  </si>
  <si>
    <t>Minnetonka</t>
  </si>
  <si>
    <t>1970-1386</t>
  </si>
  <si>
    <t>Minnetrista</t>
  </si>
  <si>
    <t>1976-6253</t>
  </si>
  <si>
    <t>Ramsey</t>
  </si>
  <si>
    <t>Mounds View</t>
  </si>
  <si>
    <t>1970-0157</t>
  </si>
  <si>
    <t>New Brighton</t>
  </si>
  <si>
    <t>1961-0469</t>
  </si>
  <si>
    <t xml:space="preserve">New Germany, City of </t>
  </si>
  <si>
    <t>New Germany</t>
  </si>
  <si>
    <t>1979-6297</t>
  </si>
  <si>
    <t>Le Sueur, Scott</t>
  </si>
  <si>
    <t>New Prague (pt)</t>
  </si>
  <si>
    <t>1972-0851</t>
  </si>
  <si>
    <t xml:space="preserve">Newport, City of </t>
  </si>
  <si>
    <t>Newport</t>
  </si>
  <si>
    <t>1977-6176</t>
  </si>
  <si>
    <t>North St Paul, City of</t>
  </si>
  <si>
    <t>North St. Paul</t>
  </si>
  <si>
    <t>1977-6448</t>
  </si>
  <si>
    <t>Norwood Young America</t>
  </si>
  <si>
    <t>1975-6123</t>
  </si>
  <si>
    <t>Oak Park Heights</t>
  </si>
  <si>
    <t>1978-6197</t>
  </si>
  <si>
    <t>Oakdale</t>
  </si>
  <si>
    <t>1970-1351</t>
  </si>
  <si>
    <t>Orono, City of</t>
  </si>
  <si>
    <t>Orono</t>
  </si>
  <si>
    <t>1975-6201</t>
  </si>
  <si>
    <t>Prior Lake #</t>
  </si>
  <si>
    <t>1985-6005</t>
  </si>
  <si>
    <t>1979-6103</t>
  </si>
  <si>
    <t>Randolph</t>
  </si>
  <si>
    <t>1962-0691</t>
  </si>
  <si>
    <t>Richfield</t>
  </si>
  <si>
    <t>1979-6311</t>
  </si>
  <si>
    <t>Rogers ◊</t>
  </si>
  <si>
    <t>1976-6069</t>
  </si>
  <si>
    <t>Rosemount</t>
  </si>
  <si>
    <t>1968-1117</t>
  </si>
  <si>
    <t>Savage</t>
  </si>
  <si>
    <t>1980-6205</t>
  </si>
  <si>
    <t>Shakopee Public Utilities Commission</t>
  </si>
  <si>
    <t>Shakopee #</t>
  </si>
  <si>
    <t>1974-5038</t>
  </si>
  <si>
    <t>Shoreview</t>
  </si>
  <si>
    <t>1974-5226</t>
  </si>
  <si>
    <t>Shorewood</t>
  </si>
  <si>
    <t>1974-5168</t>
  </si>
  <si>
    <t>South St. Paul</t>
  </si>
  <si>
    <t>1972-0123</t>
  </si>
  <si>
    <t>Anoka, Ramsey</t>
  </si>
  <si>
    <t>Spring Lake Park</t>
  </si>
  <si>
    <t>1981-6062</t>
  </si>
  <si>
    <t>Spring Park</t>
  </si>
  <si>
    <t>1960-0907</t>
  </si>
  <si>
    <t>Hennepin, Ramsey</t>
  </si>
  <si>
    <t>St. Anthony</t>
  </si>
  <si>
    <t>1980-6002</t>
  </si>
  <si>
    <t>St. Bonifacius</t>
  </si>
  <si>
    <t>1979-6329</t>
  </si>
  <si>
    <t>St. Francis</t>
  </si>
  <si>
    <t>1973-1007</t>
  </si>
  <si>
    <t>St. Louis Park</t>
  </si>
  <si>
    <t>1963-0913</t>
  </si>
  <si>
    <t>St. Paul Park</t>
  </si>
  <si>
    <t>1977-6229</t>
  </si>
  <si>
    <t>St Paul Regional Water Services</t>
  </si>
  <si>
    <t>St. Paul</t>
  </si>
  <si>
    <t>1975-6207</t>
  </si>
  <si>
    <t>Stillwater</t>
  </si>
  <si>
    <t>1980-6153</t>
  </si>
  <si>
    <t>Vadnais Heights</t>
  </si>
  <si>
    <t>1992-6105</t>
  </si>
  <si>
    <t>Vermillion</t>
  </si>
  <si>
    <t>1976-6013</t>
  </si>
  <si>
    <t>Victoria</t>
  </si>
  <si>
    <t>1980-6051</t>
  </si>
  <si>
    <t>Waconia, City of</t>
  </si>
  <si>
    <t>Waconia</t>
  </si>
  <si>
    <t>1979-6300</t>
  </si>
  <si>
    <t>Watertown</t>
  </si>
  <si>
    <t>1965-0433</t>
  </si>
  <si>
    <t>Wayzata</t>
  </si>
  <si>
    <t>1984-6120</t>
  </si>
  <si>
    <t>White Bear Township</t>
  </si>
  <si>
    <t>1969-0215</t>
  </si>
  <si>
    <t>Woodbury</t>
  </si>
  <si>
    <t>* = Forecast revised by Council action in August-December 2015</t>
  </si>
  <si>
    <t>** = Forecast revised by Council action in 2016</t>
  </si>
  <si>
    <t># = SMSC forecasts are accounted separate from the balance of Prior Lake and Shakopee.</t>
  </si>
  <si>
    <t>◊ = Rogers annexed Hassan Township in 2012; Census counts are combined.</t>
  </si>
  <si>
    <t>Average 2000 - 2015 Peak Month to Winter Ratio</t>
  </si>
  <si>
    <t>Max Month</t>
  </si>
  <si>
    <t>Winter Monthly Average</t>
  </si>
  <si>
    <t>MPARS INV &amp; Thrive Forecast</t>
  </si>
  <si>
    <t>Peak Gallons per Day (GPD)</t>
  </si>
  <si>
    <t>Well Installation Cost ($)</t>
  </si>
  <si>
    <t>Annual O &amp; M Cost ($)</t>
  </si>
  <si>
    <t>Description</t>
  </si>
  <si>
    <t>MODEL TITLE</t>
  </si>
  <si>
    <t>MODEL DATE</t>
  </si>
  <si>
    <t>Bayport, City of</t>
  </si>
  <si>
    <t>Belle Plaine, City of</t>
  </si>
  <si>
    <t>Burnsville, City of</t>
  </si>
  <si>
    <t>Chanhassen, City of</t>
  </si>
  <si>
    <t>Cologne, City of</t>
  </si>
  <si>
    <t>Coon Rapids, City of</t>
  </si>
  <si>
    <t>Dayton, City of</t>
  </si>
  <si>
    <t>Elko New Market, City of</t>
  </si>
  <si>
    <t>Excelsior, City of</t>
  </si>
  <si>
    <t>Forest Lake, City of</t>
  </si>
  <si>
    <t>Fridley, City of</t>
  </si>
  <si>
    <t>Greenfield, City of</t>
  </si>
  <si>
    <t xml:space="preserve">Hastings, City of </t>
  </si>
  <si>
    <t>Hopkins, City of</t>
  </si>
  <si>
    <t>Hugo, City of</t>
  </si>
  <si>
    <t>Lake Elmo, City of</t>
  </si>
  <si>
    <t>Lexington, City of</t>
  </si>
  <si>
    <t>Lino Lakes, City of</t>
  </si>
  <si>
    <t>Maple Plain, City of</t>
  </si>
  <si>
    <t>Marine on St Croix, City of</t>
  </si>
  <si>
    <t>Mayer, City of</t>
  </si>
  <si>
    <t>Medina, City of</t>
  </si>
  <si>
    <t>Minnetonka Beach, City of</t>
  </si>
  <si>
    <t>Minnetonka, City of</t>
  </si>
  <si>
    <t>Minnetrista, City of</t>
  </si>
  <si>
    <t>Mounds View, City of</t>
  </si>
  <si>
    <t>New Brighton, City of</t>
  </si>
  <si>
    <t>New Prague, City of</t>
  </si>
  <si>
    <t>Norwood Young America, City of</t>
  </si>
  <si>
    <t>Oak Park Heights, City of</t>
  </si>
  <si>
    <t>Prior Lake, City of</t>
  </si>
  <si>
    <t>Ramsey, City of</t>
  </si>
  <si>
    <t xml:space="preserve">Randolph, City of </t>
  </si>
  <si>
    <t>Richfield, City of</t>
  </si>
  <si>
    <t>Rogers, City of</t>
  </si>
  <si>
    <t>Rosemount, City of</t>
  </si>
  <si>
    <t>Shoreview, City of</t>
  </si>
  <si>
    <t>South St Paul, City of</t>
  </si>
  <si>
    <t>Spring Lake Park, City of</t>
  </si>
  <si>
    <t>Spring Park, City of</t>
  </si>
  <si>
    <t>St Anthony, City of</t>
  </si>
  <si>
    <t>St Bonifacius, City of</t>
  </si>
  <si>
    <t>St Francis, City of</t>
  </si>
  <si>
    <t>St Louis Park, City of</t>
  </si>
  <si>
    <t>St Paul Park, City of</t>
  </si>
  <si>
    <t>Vadnais Heights, City of</t>
  </si>
  <si>
    <t>Vermillion, City of</t>
  </si>
  <si>
    <t>Victoria, City of</t>
  </si>
  <si>
    <t>Watertown, City of</t>
  </si>
  <si>
    <t>Wayzata, City of</t>
  </si>
  <si>
    <t>Woodbury, City of</t>
  </si>
  <si>
    <t># New Wells</t>
  </si>
  <si>
    <t>Economic Analysis of Irrigation Efficiency Benefits</t>
  </si>
  <si>
    <t>Number of New Wells Needed in Future</t>
  </si>
  <si>
    <t>Cost of New Wells in Future</t>
  </si>
  <si>
    <t>-</t>
  </si>
  <si>
    <t>Pop Per Well</t>
  </si>
  <si>
    <t>2013-2016 Average Population Served</t>
  </si>
  <si>
    <t>Utility Cost per Participant</t>
  </si>
  <si>
    <t>Reduction per Participant</t>
  </si>
  <si>
    <t>Smart (Weather-based) Controller</t>
  </si>
  <si>
    <t xml:space="preserve">Irrigation System Audit </t>
  </si>
  <si>
    <t>Sprinklerhead Replacement (10 per participant)</t>
  </si>
  <si>
    <t>Total Utility Cost per Participant:</t>
  </si>
  <si>
    <t>Total Reduction per Participant:</t>
  </si>
  <si>
    <t>Anoka, City of</t>
  </si>
  <si>
    <t>Apple Valley, City of</t>
  </si>
  <si>
    <t>Eagan, City of</t>
  </si>
  <si>
    <t>Maple Grove, City of</t>
  </si>
  <si>
    <t>Mound, City of</t>
  </si>
  <si>
    <t>Robbinsdale, City of</t>
  </si>
  <si>
    <t>Tonka Bay, City of</t>
  </si>
  <si>
    <t>White Bear Lake, City of</t>
  </si>
  <si>
    <t>Eden Prairie, City of</t>
  </si>
  <si>
    <t>Measures</t>
  </si>
  <si>
    <t>Select Measure or Combination of Measures for Community</t>
  </si>
  <si>
    <t>Base Participation Rate:</t>
  </si>
  <si>
    <t>Base Program Cost:</t>
  </si>
  <si>
    <t>Population:</t>
  </si>
  <si>
    <t>Sprinklerhead Replacement (10 per participant): Field verification and reimbursement</t>
  </si>
  <si>
    <t>Smart Controller: New weather-based controller with moisture sensors</t>
  </si>
  <si>
    <t>Irrigation System Audit: Site visit and recommendations</t>
  </si>
  <si>
    <t>% Participation</t>
  </si>
  <si>
    <t>Participation Rate</t>
  </si>
  <si>
    <t>Assumes participation increases and then decreases as costs go up</t>
  </si>
  <si>
    <t>Instructions</t>
  </si>
  <si>
    <t>1. Community Input</t>
  </si>
  <si>
    <t>2. Program Setup</t>
  </si>
  <si>
    <t>Results of the analysis are shown here.</t>
  </si>
  <si>
    <t>Persons per Household:</t>
  </si>
  <si>
    <t>Administrative cost per Participant:</t>
  </si>
  <si>
    <t>Marketing cost per Capita:</t>
  </si>
  <si>
    <t>Administrative Cost per Participant:</t>
  </si>
  <si>
    <t>Suggested Costs &amp; Impacts of Landscape Irrigation Efficiency Measures</t>
  </si>
  <si>
    <t>DataSourceList</t>
  </si>
  <si>
    <t>Utility Records</t>
  </si>
  <si>
    <t>Literature Based</t>
  </si>
  <si>
    <t>Other</t>
  </si>
  <si>
    <t>Data Source:</t>
  </si>
  <si>
    <t>Households (Participants)</t>
  </si>
  <si>
    <t>Default Values</t>
  </si>
  <si>
    <t>n/a</t>
  </si>
  <si>
    <t>Current Number of Wells</t>
  </si>
  <si>
    <t>%Indoor of Annual Average</t>
  </si>
  <si>
    <t>Plymouth, City of</t>
  </si>
  <si>
    <t>Current # wells</t>
  </si>
  <si>
    <t>Program Implementation Year</t>
  </si>
  <si>
    <t>% winter</t>
  </si>
  <si>
    <t>Persons per Household</t>
  </si>
  <si>
    <t>Reduction starts with Implementation Year set in Program Setup.</t>
  </si>
  <si>
    <t>4. Results</t>
  </si>
  <si>
    <t>Difference (# of Wells from Implementation)</t>
  </si>
  <si>
    <t>2040 Demand "As Is"</t>
  </si>
  <si>
    <t>2040 new wells "as Is"</t>
  </si>
  <si>
    <t>$ per capita</t>
  </si>
  <si>
    <t>$ per participant</t>
  </si>
  <si>
    <t>Reduction of Peak</t>
  </si>
  <si>
    <t>Marketing Cost:</t>
  </si>
  <si>
    <t>Reduction</t>
  </si>
  <si>
    <t>These worksheets should not be modified.</t>
  </si>
  <si>
    <t>All worksheets to the right are working tabs with calculations using data input in the preceeding (left) worksheets.</t>
  </si>
  <si>
    <t>Program Life (Years)</t>
  </si>
  <si>
    <t>PROGRAM YEARS</t>
  </si>
  <si>
    <t>SAVINGS YEARS</t>
  </si>
  <si>
    <t>Implementation Year</t>
  </si>
  <si>
    <t>Program Life</t>
  </si>
  <si>
    <t>(1) = Years of program implementation</t>
  </si>
  <si>
    <t>cumulative percent reduction</t>
  </si>
  <si>
    <t>Implementation continues throughout Program Life.</t>
  </si>
  <si>
    <t>Minimum Indoor GPCD</t>
  </si>
  <si>
    <t>Reduction per year of indoor  use</t>
  </si>
  <si>
    <t>In column I, estimate the peak gpd as a percent of available supply (i.e., 100% means the peak gpd was at available supply).</t>
  </si>
  <si>
    <t>Enter the annual reduction of indoor water use from efficient plumbing fixtures, codes &amp; standards.</t>
  </si>
  <si>
    <t>Enter the minimum residential indoor gallons per day (GPD).</t>
  </si>
  <si>
    <t>The top box contains generic costs and reduction rates for different measures that can be included in an Irrigation Efficiency Program. These are literature based and should not be changed.</t>
  </si>
  <si>
    <t xml:space="preserve">Use the check boxes in column D to select the measures to be included in the Irrigation Efficiency Program.  </t>
  </si>
  <si>
    <t xml:space="preserve">The  program cost per participant and peak day reduction rate are calculated depending upon the measures selected. </t>
  </si>
  <si>
    <t>Enter the Base Participation Rate. The is the percent of the community that is already implementing irrigation efficiency measures without any incentives.</t>
  </si>
  <si>
    <t>This estimates the participation rates associated with increments of the annual program cost.</t>
  </si>
  <si>
    <t>3. Participation Rate</t>
  </si>
  <si>
    <t>The list of percentages is based on Program Setup selections.</t>
  </si>
  <si>
    <t>An Error Statement will be displayed if the Percent Reduction and selected Participation Rate are misaligned.</t>
  </si>
  <si>
    <t>Instructions for the model and a brief description of the tabs (worksheets), with hyperlinks to direct the user to various locations within the model.</t>
  </si>
  <si>
    <t>Community Inputs</t>
  </si>
  <si>
    <t>Program Setup</t>
  </si>
  <si>
    <t>Results</t>
  </si>
  <si>
    <t>All worksheets (tabs) beyond this point are computations only. No further input is required.</t>
  </si>
  <si>
    <t>Throughout the Model, user input cells are highlighted in green.</t>
  </si>
  <si>
    <t xml:space="preserve">As Is  </t>
  </si>
  <si>
    <t xml:space="preserve">Savings  </t>
  </si>
  <si>
    <t>Community Graph</t>
  </si>
  <si>
    <t>total years implemented</t>
  </si>
  <si>
    <t>Cumulative years of implementation</t>
  </si>
  <si>
    <t>Trigger % of Capacity for New Well</t>
  </si>
  <si>
    <t>Select from Drop-down:</t>
  </si>
  <si>
    <t>Select from Drop-down</t>
  </si>
  <si>
    <t>Enter:</t>
  </si>
  <si>
    <t>Current No. of Wells</t>
  </si>
  <si>
    <t>Discount Rate for Economic Analysis</t>
  </si>
  <si>
    <t>Residential GPCD is reduced over time for new efficient fixtures and plumbing codes.</t>
  </si>
  <si>
    <t>GPD per Well</t>
  </si>
  <si>
    <t>Total Wells Needed</t>
  </si>
  <si>
    <t>Met. Council</t>
  </si>
  <si>
    <t>Bloomington, City of</t>
  </si>
  <si>
    <t>Brooklyn Park, City of</t>
  </si>
  <si>
    <t>Cottage Grove, City of</t>
  </si>
  <si>
    <t>Edina, City of</t>
  </si>
  <si>
    <t>Oakdale, City of</t>
  </si>
  <si>
    <t>Savage, City of</t>
  </si>
  <si>
    <t>Stillwater, City of</t>
  </si>
  <si>
    <t>Native Landscaping Rebate:  $1 per sq ft up to $1500</t>
  </si>
  <si>
    <t>Adjusted Peak Day GPD</t>
  </si>
  <si>
    <t>2040 Savings (MGD)</t>
  </si>
  <si>
    <t>% Reduction</t>
  </si>
  <si>
    <t>Savings in GPD</t>
  </si>
  <si>
    <t>Discounted Savings</t>
  </si>
  <si>
    <t>Unit Cost ($/1000 gal)</t>
  </si>
  <si>
    <t>Increase in Demand (GPD)</t>
  </si>
  <si>
    <t>Increase in Demand</t>
  </si>
  <si>
    <t># of Wells Needed with Conservation</t>
  </si>
  <si>
    <t>Marketing &amp; Education</t>
  </si>
  <si>
    <t>Sprinklerhead Replacement</t>
  </si>
  <si>
    <t>Smart Controller</t>
  </si>
  <si>
    <t>Irrigation System Audit</t>
  </si>
  <si>
    <t>Native Landscaping Rebate</t>
  </si>
  <si>
    <t>Cost Savings by Community</t>
  </si>
  <si>
    <t>Conservation Measures by Community</t>
  </si>
  <si>
    <t>✔</t>
  </si>
  <si>
    <t>% Reduction in GPCD</t>
  </si>
  <si>
    <t>% Growth</t>
  </si>
  <si>
    <t>Peak Demand in Gallons per Day (GPD)</t>
  </si>
  <si>
    <t>% Increase from 2017</t>
  </si>
  <si>
    <t xml:space="preserve"> Native Landscaping Rebate</t>
  </si>
  <si>
    <t>On row 33, enter the annual reduction of indoor water use from efficient plumbing fixtures, codes &amp; standards.</t>
  </si>
  <si>
    <t>On row 34, enter the minimum residential indoor gallons per day (GPD).</t>
  </si>
  <si>
    <t>Discount Efficiency Program Costs</t>
  </si>
  <si>
    <t xml:space="preserve"> </t>
  </si>
  <si>
    <t>Efficiency</t>
  </si>
  <si>
    <t>As Is Firm Capy</t>
  </si>
  <si>
    <t>Efficiency Firm Capy</t>
  </si>
  <si>
    <t>Adjusted Indoor/Winter Gallons per Capita per Day (GPCD)</t>
  </si>
  <si>
    <t>In column C, use the drop-down box in each cell to select the community for analysis.</t>
  </si>
  <si>
    <t>In column C, use the drop-down box to select the community for analysis.</t>
  </si>
  <si>
    <t>Enter well costs for the community in column F and G.</t>
  </si>
  <si>
    <t>On row 29, enter the discount rate to be used for the community.</t>
  </si>
  <si>
    <t>The second box is the program setup for the community.</t>
  </si>
  <si>
    <t>Note that a Participation-Cost Curve is calculated to the right for the community based on the selected measures for the community.</t>
  </si>
  <si>
    <t>Select a Target Participation Rate from Drop-down List for the Community.</t>
  </si>
  <si>
    <t>The higher the participation rate selected, the higher the program costs used in the analysis for the community.</t>
  </si>
  <si>
    <t>If the Percent Reduction on the Program Setup is zero, then there is an alternate list of percentages for the community.</t>
  </si>
  <si>
    <t>The Program Life for the community is determined by the level of participation selected.</t>
  </si>
  <si>
    <t>All inputs for the model are entered on this tab and populated throughout the workbook including: community selected for analysis, well installation cost, annual well O&amp;M costs, peak day gpd as a percent of supply capacity, discount rate, and inputs for calculating the adjustment to residential per capita use in the future for increasing indoor water use efficiency.</t>
  </si>
  <si>
    <t>Select measures, or combination of measures for the community. Enter the Base Participation Rate. Costs and Percent Reduction per participant are calculated for the community. A participation - cost curve is estimated for the community.</t>
  </si>
  <si>
    <t>Select the participation rate for the community. The list of participation percentages is determined by the participation - cost curve on the Program Setup tab for the community. If the Percent Reduction on the Program Setup tab is zero, an alternate drop-down list is used for the participation rate levels.</t>
  </si>
  <si>
    <t>For the community, the number of new wells needs is shown without conservation and with the irrigation conservation program.  A difference between the two scenario costs is calculated as the without conservation cost minus the with conservation cost.</t>
  </si>
  <si>
    <t>The community that has been selected on the Community Inputs tab may be selected from the drop down list to view the forecasted demand with and without conservation and the savings per year.</t>
  </si>
  <si>
    <t>The community selected for analysis is listed with population forcasts for 2010-2040 by decade, and population forecasts for 2017-2040 by year.</t>
  </si>
  <si>
    <t xml:space="preserve">The average residential gallons per capita day (RES GPCD) is adjusted over time for the reduction of indoor water use based upon input on the Community Input tab. The peak month to winter average water use ratio is listed for the community and is used to estimate the peak month gallons per day (GPD).  The peak month volume in gallons per day (GPD) is estimated for each year 2017-2040. </t>
  </si>
  <si>
    <t>This tab calculates the number of additional wells needed in future years to meet water demand by the community.  The cost of well installation and operation in futures years is estimated as new wells are needed for the community. The future costs are discounted back to present-day dollar value.</t>
  </si>
  <si>
    <t>This tab recalculates the future water demand by the community given the percent participation and the percent reduction in peak demand from implementation of an irrigation efficiency water conservation program. The conservation costs are estimated for each year of program implementation, and discounted back to present value for the community.</t>
  </si>
  <si>
    <t xml:space="preserve">The estimated number of new wells and associated costs in the future are estimated for the community as described previously (see Wells and Cost tab) given the conservation reduction in water demand. </t>
  </si>
  <si>
    <t>This tab contains 94 water systems ("communities") that were identified as municipal water systems with the following characteristics: percentage of residential to total water use, gallon per capita per day (gpcd) rate of water use, summer peak month to winter average water use ratio, and projected population growth rate from 2017 to 2040. Other community level data are stored on this tab, such as population, persons per household, etc. These data are retrieved throughout the model by way of lookup functions as needed.</t>
  </si>
  <si>
    <t>Enter the discount rate to be used for the community.</t>
  </si>
  <si>
    <t>If the utility costs and percent reduction per measure are changed for the community, use the drop-down box in column C to indicate the source of data.</t>
  </si>
  <si>
    <t>Enter the year in which the irrigation efficiency program is to commence in column C for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</si>
</sst>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
    <numFmt numFmtId="168" formatCode="&quot;$&quot;#,##0"/>
    <numFmt numFmtId="169" formatCode="_(* #,##0.0_);_(* \(#,##0.0\);_(* &quot;-&quot;??_);_(@_)"/>
    <numFmt numFmtId="170" formatCode="General_)"/>
    <numFmt numFmtId="171" formatCode="0.0"/>
    <numFmt numFmtId="172" formatCode="_(* #,##0.000_);_(* \(#,##0.000\);_(* &quot;-&quot;??_);_(@_)"/>
  </numFmts>
  <fonts count="45" x14ac:knownFonts="1">
    <font>
      <sz val="11"/>
      <color theme="1"/>
      <name val="Calibri"/>
      <family val="2"/>
      <scheme val="minor"/>
    </font>
    <font>
      <b/>
      <sz val="11"/>
      <color theme="1"/>
      <name val="Calibri"/>
      <family val="2"/>
      <scheme val="minor"/>
    </font>
    <font>
      <sz val="11"/>
      <color theme="1"/>
      <name val="Calibri"/>
      <family val="2"/>
      <scheme val="minor"/>
    </font>
    <font>
      <sz val="10"/>
      <name val="Times New Roman"/>
      <family val="1"/>
    </font>
    <font>
      <sz val="12"/>
      <name val="Helv"/>
    </font>
    <font>
      <u/>
      <sz val="11"/>
      <color theme="10"/>
      <name val="Calibri"/>
      <family val="2"/>
      <scheme val="minor"/>
    </font>
    <font>
      <sz val="11"/>
      <color theme="1"/>
      <name val="Calibri"/>
      <family val="2"/>
      <scheme val="minor"/>
    </font>
    <font>
      <b/>
      <sz val="10"/>
      <name val="Arial"/>
      <family val="2"/>
    </font>
    <font>
      <sz val="10"/>
      <name val="Arial"/>
      <family val="2"/>
    </font>
    <font>
      <b/>
      <sz val="11"/>
      <color theme="1"/>
      <name val="Calibri"/>
      <family val="2"/>
      <scheme val="minor"/>
    </font>
    <font>
      <sz val="11"/>
      <color rgb="FFFF0000"/>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1"/>
      <color rgb="FFFF0000"/>
      <name val="Calibri"/>
      <family val="2"/>
      <scheme val="minor"/>
    </font>
    <font>
      <sz val="9"/>
      <color indexed="81"/>
      <name val="Tahoma"/>
      <family val="2"/>
    </font>
    <font>
      <b/>
      <sz val="9"/>
      <color indexed="81"/>
      <name val="Tahoma"/>
      <family val="2"/>
    </font>
    <font>
      <sz val="11"/>
      <color theme="1"/>
      <name val="Calibri"/>
      <family val="2"/>
      <scheme val="minor"/>
    </font>
    <font>
      <sz val="11"/>
      <color rgb="FFFF0000"/>
      <name val="Calibri"/>
      <family val="2"/>
      <scheme val="minor"/>
    </font>
    <font>
      <b/>
      <sz val="11"/>
      <color theme="1"/>
      <name val="Calibri"/>
      <family val="2"/>
      <scheme val="minor"/>
    </font>
    <font>
      <b/>
      <sz val="8"/>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0" tint="-0.249977111117893"/>
      <name val="Calibri"/>
      <family val="2"/>
      <scheme val="minor"/>
    </font>
    <font>
      <sz val="8"/>
      <color theme="1"/>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sz val="11"/>
      <color theme="1"/>
      <name val="Segoe UI Symbol"/>
      <family val="2"/>
    </font>
    <font>
      <sz val="11"/>
      <color theme="0"/>
      <name val="Calibri"/>
      <family val="2"/>
      <scheme val="minor"/>
    </font>
    <font>
      <b/>
      <sz val="11"/>
      <name val="Calibri"/>
      <family val="2"/>
      <scheme val="minor"/>
    </font>
    <font>
      <u/>
      <sz val="11"/>
      <color theme="0"/>
      <name val="Calibri"/>
      <family val="2"/>
      <scheme val="minor"/>
    </font>
    <font>
      <sz val="11"/>
      <color theme="9" tint="0.3999755851924192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patternFill>
    </fill>
    <fill>
      <patternFill patternType="solid">
        <fgColor theme="2" tint="-0.49998474074526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theme="0" tint="-0.14996795556505021"/>
      </left>
      <right style="medium">
        <color theme="0" tint="-0.499984740745262"/>
      </right>
      <top style="medium">
        <color theme="0" tint="-0.14996795556505021"/>
      </top>
      <bottom style="medium">
        <color theme="0" tint="-0.499984740745262"/>
      </bottom>
      <diagonal/>
    </border>
    <border>
      <left style="medium">
        <color theme="0" tint="-0.14996795556505021"/>
      </left>
      <right style="medium">
        <color theme="0" tint="-0.499984740745262"/>
      </right>
      <top/>
      <bottom style="medium">
        <color theme="0" tint="-0.499984740745262"/>
      </bottom>
      <diagonal/>
    </border>
    <border>
      <left style="medium">
        <color theme="0" tint="-0.14996795556505021"/>
      </left>
      <right/>
      <top/>
      <bottom/>
      <diagonal/>
    </border>
    <border>
      <left style="medium">
        <color indexed="64"/>
      </left>
      <right style="medium">
        <color indexed="64"/>
      </right>
      <top style="medium">
        <color indexed="64"/>
      </top>
      <bottom style="medium">
        <color indexed="64"/>
      </bottom>
      <diagonal/>
    </border>
    <border>
      <left style="medium">
        <color theme="0"/>
      </left>
      <right style="medium">
        <color theme="0" tint="-0.499984740745262"/>
      </right>
      <top style="medium">
        <color theme="0"/>
      </top>
      <bottom style="medium">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170" fontId="4" fillId="0" borderId="0"/>
    <xf numFmtId="0" fontId="3" fillId="0" borderId="0"/>
    <xf numFmtId="0" fontId="5" fillId="0" borderId="0" applyNumberFormat="0" applyFill="0" applyBorder="0" applyAlignment="0" applyProtection="0"/>
    <xf numFmtId="0" fontId="41" fillId="10" borderId="0" applyNumberFormat="0" applyBorder="0" applyAlignment="0" applyProtection="0"/>
  </cellStyleXfs>
  <cellXfs count="592">
    <xf numFmtId="0" fontId="0" fillId="0" borderId="0" xfId="0"/>
    <xf numFmtId="0" fontId="1" fillId="0" borderId="0" xfId="0" applyFont="1"/>
    <xf numFmtId="3" fontId="0" fillId="0" borderId="0" xfId="0" applyNumberFormat="1"/>
    <xf numFmtId="0" fontId="0" fillId="4" borderId="7" xfId="0" applyFill="1" applyBorder="1"/>
    <xf numFmtId="0" fontId="6" fillId="0" borderId="0" xfId="0" applyFont="1"/>
    <xf numFmtId="0" fontId="8" fillId="0" borderId="19" xfId="0" applyFont="1" applyBorder="1"/>
    <xf numFmtId="0" fontId="8" fillId="0" borderId="0" xfId="0" applyFont="1" applyBorder="1"/>
    <xf numFmtId="0" fontId="7" fillId="0" borderId="19" xfId="0" applyFont="1" applyBorder="1"/>
    <xf numFmtId="0" fontId="9" fillId="0" borderId="8" xfId="0" applyFont="1" applyBorder="1" applyAlignment="1"/>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xf>
    <xf numFmtId="0" fontId="8" fillId="0" borderId="22" xfId="0" applyFont="1" applyBorder="1"/>
    <xf numFmtId="165" fontId="8" fillId="0" borderId="0" xfId="1" applyNumberFormat="1" applyFont="1" applyBorder="1"/>
    <xf numFmtId="167" fontId="8" fillId="0" borderId="0" xfId="3" applyNumberFormat="1" applyFont="1" applyBorder="1"/>
    <xf numFmtId="169" fontId="8" fillId="0" borderId="22" xfId="1" applyNumberFormat="1" applyFont="1" applyBorder="1"/>
    <xf numFmtId="165" fontId="8" fillId="0" borderId="0" xfId="1" applyNumberFormat="1" applyFont="1" applyFill="1" applyBorder="1"/>
    <xf numFmtId="165" fontId="8" fillId="0" borderId="22" xfId="1" applyNumberFormat="1" applyFont="1" applyFill="1" applyBorder="1"/>
    <xf numFmtId="9" fontId="8" fillId="0" borderId="0" xfId="3" applyNumberFormat="1" applyFont="1" applyBorder="1"/>
    <xf numFmtId="165" fontId="6" fillId="0" borderId="0" xfId="1" applyNumberFormat="1" applyFont="1"/>
    <xf numFmtId="2" fontId="6" fillId="0" borderId="13" xfId="0" applyNumberFormat="1" applyFont="1" applyBorder="1"/>
    <xf numFmtId="49" fontId="8" fillId="0" borderId="19" xfId="4" applyNumberFormat="1" applyFont="1" applyFill="1" applyBorder="1" applyAlignment="1" applyProtection="1"/>
    <xf numFmtId="165" fontId="8" fillId="0" borderId="0" xfId="1" applyNumberFormat="1" applyFont="1" applyFill="1" applyBorder="1" applyProtection="1"/>
    <xf numFmtId="165" fontId="8" fillId="0" borderId="0" xfId="1" applyNumberFormat="1" applyFont="1" applyFill="1" applyBorder="1" applyAlignment="1" applyProtection="1"/>
    <xf numFmtId="165" fontId="8" fillId="0" borderId="22" xfId="1" applyNumberFormat="1" applyFont="1" applyFill="1" applyBorder="1" applyAlignment="1"/>
    <xf numFmtId="3" fontId="8" fillId="0" borderId="23" xfId="0" applyNumberFormat="1" applyFont="1" applyBorder="1"/>
    <xf numFmtId="2" fontId="6" fillId="0" borderId="14" xfId="0" applyNumberFormat="1" applyFont="1" applyBorder="1"/>
    <xf numFmtId="49" fontId="8" fillId="0" borderId="19" xfId="0" applyNumberFormat="1" applyFont="1" applyFill="1" applyBorder="1" applyAlignment="1" applyProtection="1"/>
    <xf numFmtId="0" fontId="6" fillId="0" borderId="19" xfId="0" applyFont="1" applyFill="1" applyBorder="1"/>
    <xf numFmtId="0" fontId="6" fillId="0" borderId="0" xfId="0" applyFont="1" applyFill="1" applyBorder="1"/>
    <xf numFmtId="0" fontId="6" fillId="0" borderId="22" xfId="0" applyFont="1" applyFill="1" applyBorder="1"/>
    <xf numFmtId="49" fontId="8" fillId="0" borderId="19" xfId="1" applyNumberFormat="1" applyFont="1" applyFill="1" applyBorder="1" applyAlignment="1" applyProtection="1"/>
    <xf numFmtId="49" fontId="8" fillId="0" borderId="19" xfId="5" applyNumberFormat="1" applyFont="1" applyFill="1" applyBorder="1" applyAlignment="1" applyProtection="1"/>
    <xf numFmtId="0" fontId="6" fillId="0" borderId="0" xfId="0" applyFont="1" applyBorder="1"/>
    <xf numFmtId="165" fontId="6" fillId="0" borderId="0" xfId="1" applyNumberFormat="1" applyFont="1" applyBorder="1"/>
    <xf numFmtId="165" fontId="8" fillId="0" borderId="22" xfId="1" applyNumberFormat="1" applyFont="1" applyFill="1" applyBorder="1" applyProtection="1"/>
    <xf numFmtId="49" fontId="8" fillId="0" borderId="19" xfId="6" applyNumberFormat="1" applyFont="1" applyFill="1" applyBorder="1" applyAlignment="1" applyProtection="1"/>
    <xf numFmtId="0" fontId="8" fillId="0" borderId="24" xfId="0" applyFont="1" applyBorder="1"/>
    <xf numFmtId="0" fontId="8" fillId="0" borderId="25" xfId="0" applyFont="1" applyBorder="1"/>
    <xf numFmtId="0" fontId="8" fillId="0" borderId="26" xfId="0" applyFont="1" applyBorder="1"/>
    <xf numFmtId="165" fontId="8" fillId="0" borderId="25" xfId="1" applyNumberFormat="1" applyFont="1" applyBorder="1"/>
    <xf numFmtId="167" fontId="8" fillId="0" borderId="25" xfId="3" applyNumberFormat="1" applyFont="1" applyBorder="1"/>
    <xf numFmtId="169" fontId="8" fillId="0" borderId="26" xfId="1" applyNumberFormat="1" applyFont="1" applyBorder="1"/>
    <xf numFmtId="165" fontId="8" fillId="0" borderId="25" xfId="1" applyNumberFormat="1" applyFont="1" applyFill="1" applyBorder="1"/>
    <xf numFmtId="165" fontId="8" fillId="0" borderId="26" xfId="1" applyNumberFormat="1" applyFont="1" applyFill="1" applyBorder="1"/>
    <xf numFmtId="9" fontId="8" fillId="0" borderId="27" xfId="3" applyNumberFormat="1" applyFont="1" applyBorder="1"/>
    <xf numFmtId="3" fontId="8" fillId="0" borderId="28" xfId="0" applyNumberFormat="1" applyFont="1" applyBorder="1"/>
    <xf numFmtId="165" fontId="6" fillId="0" borderId="29" xfId="1" applyNumberFormat="1" applyFont="1" applyBorder="1"/>
    <xf numFmtId="165" fontId="6" fillId="0" borderId="9" xfId="1" applyNumberFormat="1" applyFont="1" applyBorder="1"/>
    <xf numFmtId="2" fontId="6" fillId="0" borderId="15" xfId="0" applyNumberFormat="1" applyFont="1" applyBorder="1"/>
    <xf numFmtId="0" fontId="8" fillId="0" borderId="0" xfId="0" applyFont="1"/>
    <xf numFmtId="3" fontId="8" fillId="0" borderId="0" xfId="0" applyNumberFormat="1" applyFont="1" applyFill="1" applyBorder="1"/>
    <xf numFmtId="0" fontId="8" fillId="0" borderId="0" xfId="0" applyFont="1" applyFill="1" applyBorder="1" applyAlignment="1">
      <alignment vertical="center"/>
    </xf>
    <xf numFmtId="0" fontId="8" fillId="0" borderId="0" xfId="0" applyFont="1" applyFill="1" applyBorder="1"/>
    <xf numFmtId="0" fontId="0" fillId="4" borderId="2" xfId="0" applyFill="1" applyBorder="1"/>
    <xf numFmtId="0" fontId="0" fillId="4" borderId="5" xfId="0" applyFill="1" applyBorder="1"/>
    <xf numFmtId="0" fontId="7" fillId="0" borderId="20" xfId="0" applyFont="1" applyBorder="1" applyAlignment="1">
      <alignment horizontal="lef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5" fillId="0" borderId="0" xfId="7" applyFill="1" applyBorder="1" applyAlignment="1">
      <alignment horizontal="center"/>
    </xf>
    <xf numFmtId="0" fontId="11" fillId="0" borderId="0" xfId="0" applyFont="1"/>
    <xf numFmtId="0" fontId="11" fillId="6" borderId="10" xfId="0" applyFont="1" applyFill="1" applyBorder="1"/>
    <xf numFmtId="9" fontId="11" fillId="5" borderId="1" xfId="3" applyFont="1" applyFill="1" applyBorder="1"/>
    <xf numFmtId="1" fontId="6" fillId="0" borderId="13" xfId="0" applyNumberFormat="1" applyFont="1" applyBorder="1"/>
    <xf numFmtId="1" fontId="6" fillId="0" borderId="14" xfId="0" applyNumberFormat="1" applyFont="1" applyBorder="1"/>
    <xf numFmtId="1" fontId="6" fillId="0" borderId="15" xfId="0" applyNumberFormat="1" applyFont="1" applyBorder="1"/>
    <xf numFmtId="0" fontId="1" fillId="0" borderId="1" xfId="0" applyFont="1" applyBorder="1" applyAlignment="1">
      <alignment horizontal="center" vertical="center" wrapText="1"/>
    </xf>
    <xf numFmtId="0" fontId="11" fillId="0" borderId="0" xfId="0" applyFont="1" applyFill="1" applyBorder="1"/>
    <xf numFmtId="165" fontId="11" fillId="0" borderId="0" xfId="1" applyNumberFormat="1" applyFont="1" applyFill="1" applyBorder="1"/>
    <xf numFmtId="0" fontId="12" fillId="0" borderId="0" xfId="0" applyFont="1"/>
    <xf numFmtId="166" fontId="12" fillId="0" borderId="0" xfId="2" applyNumberFormat="1" applyFont="1" applyFill="1" applyBorder="1"/>
    <xf numFmtId="0" fontId="0" fillId="0" borderId="0" xfId="0" applyFont="1" applyFill="1" applyBorder="1"/>
    <xf numFmtId="0" fontId="0" fillId="0" borderId="13" xfId="0" applyBorder="1"/>
    <xf numFmtId="0" fontId="0" fillId="0" borderId="15" xfId="0" applyBorder="1"/>
    <xf numFmtId="0" fontId="12" fillId="0" borderId="1" xfId="0" applyFont="1" applyBorder="1"/>
    <xf numFmtId="0" fontId="10" fillId="0" borderId="0" xfId="0" applyFont="1"/>
    <xf numFmtId="0" fontId="0" fillId="0" borderId="0" xfId="0" applyFill="1" applyBorder="1"/>
    <xf numFmtId="0" fontId="0" fillId="0" borderId="0" xfId="0" applyFont="1"/>
    <xf numFmtId="0" fontId="14" fillId="0" borderId="0" xfId="0" applyFont="1"/>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7" borderId="1" xfId="0" applyFont="1" applyFill="1" applyBorder="1"/>
    <xf numFmtId="167" fontId="14" fillId="7" borderId="1" xfId="3" applyNumberFormat="1" applyFont="1" applyFill="1" applyBorder="1"/>
    <xf numFmtId="9" fontId="14" fillId="0" borderId="0" xfId="3" applyFont="1"/>
    <xf numFmtId="9" fontId="0" fillId="0" borderId="0" xfId="3" applyFont="1"/>
    <xf numFmtId="0" fontId="0" fillId="0" borderId="14" xfId="0" quotePrefix="1" applyFont="1" applyBorder="1" applyAlignment="1">
      <alignment horizontal="center"/>
    </xf>
    <xf numFmtId="2" fontId="6" fillId="0" borderId="0" xfId="0" applyNumberFormat="1" applyFont="1" applyBorder="1"/>
    <xf numFmtId="167" fontId="14" fillId="0" borderId="0" xfId="3" applyNumberFormat="1" applyFont="1"/>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167" fontId="2" fillId="0" borderId="0" xfId="3" applyNumberFormat="1" applyFont="1"/>
    <xf numFmtId="2" fontId="2" fillId="0" borderId="13" xfId="0" applyNumberFormat="1" applyFont="1" applyBorder="1"/>
    <xf numFmtId="2" fontId="2" fillId="0" borderId="14" xfId="0" applyNumberFormat="1" applyFont="1" applyBorder="1"/>
    <xf numFmtId="2" fontId="2" fillId="0" borderId="15" xfId="0" applyNumberFormat="1" applyFont="1" applyBorder="1"/>
    <xf numFmtId="167" fontId="2" fillId="0" borderId="9" xfId="3" applyNumberFormat="1" applyFont="1" applyBorder="1"/>
    <xf numFmtId="0" fontId="6" fillId="0" borderId="13" xfId="0" applyFont="1" applyBorder="1"/>
    <xf numFmtId="0" fontId="6" fillId="0" borderId="14" xfId="0" applyFont="1" applyBorder="1"/>
    <xf numFmtId="0" fontId="16" fillId="0" borderId="0" xfId="0" applyFont="1"/>
    <xf numFmtId="0" fontId="17" fillId="0" borderId="0" xfId="0" applyFont="1"/>
    <xf numFmtId="0" fontId="17" fillId="0" borderId="1" xfId="0" applyFont="1" applyBorder="1" applyAlignment="1">
      <alignment horizontal="center"/>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0" borderId="0" xfId="0" applyFont="1" applyAlignment="1">
      <alignment horizontal="center"/>
    </xf>
    <xf numFmtId="0" fontId="17" fillId="3" borderId="10" xfId="0" applyFont="1" applyFill="1" applyBorder="1" applyAlignment="1">
      <alignment horizontal="center"/>
    </xf>
    <xf numFmtId="0" fontId="0" fillId="0" borderId="1" xfId="0" applyFont="1" applyBorder="1" applyAlignment="1">
      <alignment wrapText="1"/>
    </xf>
    <xf numFmtId="0" fontId="12" fillId="0" borderId="13" xfId="0" applyFont="1" applyBorder="1"/>
    <xf numFmtId="0" fontId="0" fillId="0" borderId="1" xfId="0" applyFont="1" applyBorder="1"/>
    <xf numFmtId="165" fontId="0" fillId="0" borderId="13" xfId="1" applyNumberFormat="1" applyFont="1" applyBorder="1"/>
    <xf numFmtId="0" fontId="19" fillId="0" borderId="0" xfId="0" applyFont="1"/>
    <xf numFmtId="0" fontId="16" fillId="0" borderId="0" xfId="0" applyFont="1" applyFill="1" applyBorder="1" applyAlignment="1">
      <alignment horizontal="center"/>
    </xf>
    <xf numFmtId="0" fontId="16" fillId="0" borderId="0" xfId="0" applyFont="1" applyFill="1" applyBorder="1"/>
    <xf numFmtId="167" fontId="16" fillId="0" borderId="0" xfId="3" applyNumberFormat="1" applyFont="1" applyFill="1" applyBorder="1" applyAlignment="1">
      <alignment horizontal="center"/>
    </xf>
    <xf numFmtId="9" fontId="16" fillId="0" borderId="0" xfId="3" applyFont="1" applyFill="1" applyBorder="1" applyAlignment="1">
      <alignment horizontal="center"/>
    </xf>
    <xf numFmtId="0" fontId="16" fillId="0" borderId="0" xfId="0" applyFont="1" applyFill="1"/>
    <xf numFmtId="0" fontId="0" fillId="0" borderId="0" xfId="0" quotePrefix="1" applyFont="1"/>
    <xf numFmtId="0" fontId="0" fillId="0" borderId="0" xfId="0" applyFont="1" applyAlignment="1">
      <alignment horizontal="left"/>
    </xf>
    <xf numFmtId="0" fontId="1" fillId="0" borderId="13" xfId="0" applyFont="1" applyBorder="1" applyAlignment="1">
      <alignment horizontal="center" wrapText="1"/>
    </xf>
    <xf numFmtId="0" fontId="11" fillId="0" borderId="0" xfId="0" applyFont="1" applyBorder="1"/>
    <xf numFmtId="0" fontId="1" fillId="0" borderId="0" xfId="0" applyFont="1" applyFill="1" applyBorder="1" applyAlignment="1">
      <alignment wrapText="1"/>
    </xf>
    <xf numFmtId="0" fontId="15" fillId="6" borderId="13" xfId="0" applyFont="1" applyFill="1" applyBorder="1" applyAlignment="1">
      <alignment horizontal="center" vertical="center" wrapText="1"/>
    </xf>
    <xf numFmtId="0" fontId="1" fillId="6" borderId="1" xfId="0" applyFont="1" applyFill="1" applyBorder="1" applyAlignment="1">
      <alignment horizontal="center" wrapText="1"/>
    </xf>
    <xf numFmtId="3" fontId="0" fillId="6" borderId="2" xfId="0" applyNumberFormat="1" applyFill="1" applyBorder="1"/>
    <xf numFmtId="3" fontId="0" fillId="6" borderId="3" xfId="0" applyNumberFormat="1" applyFill="1" applyBorder="1"/>
    <xf numFmtId="3" fontId="0" fillId="6" borderId="4" xfId="0" applyNumberFormat="1" applyFill="1" applyBorder="1"/>
    <xf numFmtId="3" fontId="0" fillId="6" borderId="5" xfId="0" applyNumberFormat="1" applyFill="1" applyBorder="1"/>
    <xf numFmtId="3" fontId="0" fillId="6" borderId="0" xfId="0" applyNumberFormat="1" applyFill="1" applyBorder="1"/>
    <xf numFmtId="3" fontId="0" fillId="6" borderId="6" xfId="0" applyNumberFormat="1" applyFill="1" applyBorder="1"/>
    <xf numFmtId="3" fontId="0" fillId="6" borderId="7" xfId="0" applyNumberFormat="1" applyFill="1" applyBorder="1"/>
    <xf numFmtId="3" fontId="0" fillId="6" borderId="8" xfId="0" applyNumberFormat="1" applyFill="1" applyBorder="1"/>
    <xf numFmtId="3" fontId="0" fillId="6" borderId="9" xfId="0" applyNumberFormat="1" applyFill="1" applyBorder="1"/>
    <xf numFmtId="0" fontId="0" fillId="8" borderId="14" xfId="0" applyFill="1" applyBorder="1" applyAlignment="1">
      <alignment horizontal="right"/>
    </xf>
    <xf numFmtId="0" fontId="0" fillId="8" borderId="15" xfId="0" applyFill="1" applyBorder="1" applyAlignment="1">
      <alignment horizontal="right"/>
    </xf>
    <xf numFmtId="0" fontId="0" fillId="0" borderId="8" xfId="0" applyFill="1" applyBorder="1"/>
    <xf numFmtId="0" fontId="1" fillId="6" borderId="7" xfId="0" applyFont="1" applyFill="1" applyBorder="1"/>
    <xf numFmtId="0" fontId="1" fillId="6" borderId="8" xfId="0" applyFont="1" applyFill="1" applyBorder="1"/>
    <xf numFmtId="0" fontId="1" fillId="6" borderId="9" xfId="0" applyFont="1" applyFill="1" applyBorder="1"/>
    <xf numFmtId="0" fontId="1" fillId="8" borderId="7" xfId="0" applyFont="1" applyFill="1" applyBorder="1"/>
    <xf numFmtId="0" fontId="1" fillId="8" borderId="8" xfId="0" applyFont="1" applyFill="1" applyBorder="1"/>
    <xf numFmtId="0" fontId="1" fillId="8" borderId="9" xfId="0" applyFont="1" applyFill="1" applyBorder="1"/>
    <xf numFmtId="0" fontId="14" fillId="0" borderId="9" xfId="0" applyFont="1" applyBorder="1" applyAlignment="1">
      <alignment wrapText="1"/>
    </xf>
    <xf numFmtId="0" fontId="15" fillId="6" borderId="4" xfId="0" applyFont="1" applyFill="1" applyBorder="1" applyAlignment="1">
      <alignment horizontal="center" vertical="center" wrapText="1"/>
    </xf>
    <xf numFmtId="0" fontId="1" fillId="6" borderId="2" xfId="0" applyFont="1" applyFill="1" applyBorder="1" applyAlignment="1">
      <alignment horizontal="center" wrapText="1"/>
    </xf>
    <xf numFmtId="0" fontId="15" fillId="6" borderId="13" xfId="0" applyFont="1" applyFill="1" applyBorder="1" applyAlignment="1">
      <alignment horizontal="center" wrapText="1"/>
    </xf>
    <xf numFmtId="0" fontId="15" fillId="8" borderId="2" xfId="0" applyFont="1" applyFill="1" applyBorder="1" applyAlignment="1">
      <alignment horizontal="center" wrapText="1"/>
    </xf>
    <xf numFmtId="0" fontId="15" fillId="8" borderId="3" xfId="0" applyFont="1" applyFill="1" applyBorder="1" applyAlignment="1">
      <alignment horizontal="center" wrapText="1"/>
    </xf>
    <xf numFmtId="0" fontId="15" fillId="8" borderId="4" xfId="0" applyFont="1" applyFill="1" applyBorder="1" applyAlignment="1">
      <alignment horizontal="center" wrapText="1"/>
    </xf>
    <xf numFmtId="0" fontId="1" fillId="8" borderId="10" xfId="0" applyFont="1" applyFill="1" applyBorder="1"/>
    <xf numFmtId="0" fontId="14" fillId="8" borderId="11" xfId="0" applyFont="1" applyFill="1" applyBorder="1"/>
    <xf numFmtId="0" fontId="14" fillId="8" borderId="12" xfId="0" applyFont="1" applyFill="1" applyBorder="1"/>
    <xf numFmtId="0" fontId="14" fillId="0" borderId="8" xfId="0" applyFont="1" applyBorder="1"/>
    <xf numFmtId="0" fontId="1" fillId="6" borderId="3" xfId="0" applyFont="1" applyFill="1" applyBorder="1" applyAlignment="1">
      <alignment horizontal="center" wrapText="1"/>
    </xf>
    <xf numFmtId="0" fontId="15" fillId="8" borderId="8" xfId="0" applyFont="1" applyFill="1" applyBorder="1"/>
    <xf numFmtId="0" fontId="14" fillId="8" borderId="8" xfId="0" applyFont="1" applyFill="1" applyBorder="1"/>
    <xf numFmtId="0" fontId="17" fillId="6" borderId="1" xfId="0" applyFont="1" applyFill="1" applyBorder="1" applyAlignment="1">
      <alignment horizontal="center" vertical="center" wrapText="1"/>
    </xf>
    <xf numFmtId="0" fontId="1" fillId="6" borderId="4" xfId="0" applyFont="1" applyFill="1" applyBorder="1" applyAlignment="1">
      <alignment horizontal="center" wrapText="1"/>
    </xf>
    <xf numFmtId="0" fontId="17" fillId="8" borderId="2" xfId="0" applyFont="1" applyFill="1" applyBorder="1" applyAlignment="1">
      <alignment horizontal="center"/>
    </xf>
    <xf numFmtId="0" fontId="17" fillId="8" borderId="3" xfId="0" applyFont="1" applyFill="1" applyBorder="1" applyAlignment="1">
      <alignment horizontal="center"/>
    </xf>
    <xf numFmtId="0" fontId="17" fillId="8" borderId="4" xfId="0" applyFont="1" applyFill="1" applyBorder="1" applyAlignment="1">
      <alignment horizontal="center"/>
    </xf>
    <xf numFmtId="0" fontId="17" fillId="6" borderId="3" xfId="0" applyFont="1" applyFill="1" applyBorder="1" applyAlignment="1">
      <alignment horizontal="center" wrapText="1"/>
    </xf>
    <xf numFmtId="0" fontId="17" fillId="6" borderId="4" xfId="0" applyFont="1" applyFill="1" applyBorder="1" applyAlignment="1">
      <alignment horizontal="center" wrapText="1"/>
    </xf>
    <xf numFmtId="0" fontId="17" fillId="0" borderId="10" xfId="0" applyFont="1" applyBorder="1" applyAlignment="1">
      <alignment horizontal="center"/>
    </xf>
    <xf numFmtId="0" fontId="17" fillId="8" borderId="11" xfId="0" applyFont="1" applyFill="1" applyBorder="1"/>
    <xf numFmtId="0" fontId="17" fillId="8" borderId="12" xfId="0" applyFont="1" applyFill="1" applyBorder="1"/>
    <xf numFmtId="0" fontId="17" fillId="6" borderId="10" xfId="0" applyFont="1" applyFill="1" applyBorder="1" applyAlignment="1">
      <alignment horizontal="left" vertical="center" wrapText="1"/>
    </xf>
    <xf numFmtId="0" fontId="17" fillId="6" borderId="11" xfId="0" applyFont="1" applyFill="1" applyBorder="1" applyAlignment="1">
      <alignment horizontal="center" wrapText="1"/>
    </xf>
    <xf numFmtId="0" fontId="17" fillId="6" borderId="12" xfId="0" applyFont="1" applyFill="1" applyBorder="1" applyAlignment="1">
      <alignment horizontal="center" wrapText="1"/>
    </xf>
    <xf numFmtId="0" fontId="17" fillId="6" borderId="10" xfId="0" applyFont="1" applyFill="1" applyBorder="1" applyAlignment="1">
      <alignment horizontal="center" wrapText="1"/>
    </xf>
    <xf numFmtId="0" fontId="17" fillId="6" borderId="2" xfId="0" applyFont="1" applyFill="1" applyBorder="1" applyAlignment="1">
      <alignment horizontal="center"/>
    </xf>
    <xf numFmtId="0" fontId="17" fillId="6" borderId="3" xfId="0" applyFont="1" applyFill="1" applyBorder="1" applyAlignment="1">
      <alignment horizontal="center"/>
    </xf>
    <xf numFmtId="0" fontId="17" fillId="8" borderId="10" xfId="0" applyFont="1" applyFill="1" applyBorder="1" applyAlignment="1">
      <alignment horizontal="center"/>
    </xf>
    <xf numFmtId="0" fontId="13" fillId="6" borderId="2" xfId="0" applyFont="1" applyFill="1" applyBorder="1" applyAlignment="1">
      <alignment horizontal="center" vertical="center" wrapText="1"/>
    </xf>
    <xf numFmtId="0" fontId="13" fillId="6" borderId="1" xfId="0" applyFont="1" applyFill="1" applyBorder="1" applyAlignment="1">
      <alignment horizontal="center" wrapText="1"/>
    </xf>
    <xf numFmtId="0" fontId="13" fillId="6" borderId="2" xfId="0" applyFont="1" applyFill="1" applyBorder="1" applyAlignment="1">
      <alignment horizontal="center" wrapText="1"/>
    </xf>
    <xf numFmtId="0" fontId="13" fillId="6" borderId="3" xfId="0" applyFont="1" applyFill="1" applyBorder="1" applyAlignment="1">
      <alignment horizontal="center" wrapText="1"/>
    </xf>
    <xf numFmtId="0" fontId="13" fillId="6" borderId="4" xfId="0" applyFont="1" applyFill="1" applyBorder="1" applyAlignment="1">
      <alignment horizontal="center" wrapText="1"/>
    </xf>
    <xf numFmtId="0" fontId="13" fillId="8" borderId="2" xfId="0" applyFont="1" applyFill="1" applyBorder="1" applyAlignment="1">
      <alignment horizontal="center" wrapText="1"/>
    </xf>
    <xf numFmtId="0" fontId="13" fillId="8" borderId="3" xfId="0" applyFont="1" applyFill="1" applyBorder="1" applyAlignment="1">
      <alignment horizontal="center" wrapText="1"/>
    </xf>
    <xf numFmtId="0" fontId="13" fillId="8" borderId="4" xfId="0" applyFont="1" applyFill="1" applyBorder="1" applyAlignment="1">
      <alignment horizontal="center" wrapText="1"/>
    </xf>
    <xf numFmtId="0" fontId="12" fillId="8" borderId="11" xfId="0" applyFont="1" applyFill="1" applyBorder="1"/>
    <xf numFmtId="0" fontId="12" fillId="8" borderId="12" xfId="0" applyFont="1" applyFill="1" applyBorder="1"/>
    <xf numFmtId="0" fontId="17" fillId="5" borderId="12" xfId="0" applyFont="1" applyFill="1" applyBorder="1" applyAlignment="1">
      <alignment horizontal="center" wrapText="1"/>
    </xf>
    <xf numFmtId="0" fontId="0" fillId="4" borderId="3" xfId="0" applyFill="1" applyBorder="1"/>
    <xf numFmtId="0" fontId="0" fillId="4" borderId="4" xfId="0" applyFill="1" applyBorder="1"/>
    <xf numFmtId="0" fontId="0" fillId="4" borderId="0" xfId="0" applyFill="1" applyBorder="1"/>
    <xf numFmtId="0" fontId="0" fillId="4" borderId="6" xfId="0" applyFill="1" applyBorder="1"/>
    <xf numFmtId="0" fontId="0" fillId="4" borderId="8" xfId="0" applyFill="1" applyBorder="1"/>
    <xf numFmtId="0" fontId="0" fillId="4" borderId="9" xfId="0" applyFill="1" applyBorder="1"/>
    <xf numFmtId="0" fontId="0" fillId="4" borderId="5" xfId="0" applyFont="1" applyFill="1" applyBorder="1"/>
    <xf numFmtId="0" fontId="0" fillId="4" borderId="7" xfId="0" applyFont="1" applyFill="1" applyBorder="1"/>
    <xf numFmtId="0" fontId="11" fillId="4" borderId="0" xfId="0" applyFont="1" applyFill="1" applyBorder="1"/>
    <xf numFmtId="165" fontId="11" fillId="4" borderId="0" xfId="1" applyNumberFormat="1" applyFont="1" applyFill="1" applyBorder="1"/>
    <xf numFmtId="0" fontId="11" fillId="4" borderId="3" xfId="0" applyFont="1" applyFill="1" applyBorder="1"/>
    <xf numFmtId="165" fontId="11" fillId="4" borderId="3" xfId="1" applyNumberFormat="1" applyFont="1" applyFill="1" applyBorder="1"/>
    <xf numFmtId="0" fontId="11" fillId="4" borderId="4" xfId="0" applyFont="1" applyFill="1" applyBorder="1"/>
    <xf numFmtId="0" fontId="11" fillId="4" borderId="6" xfId="0" applyFont="1" applyFill="1" applyBorder="1"/>
    <xf numFmtId="0" fontId="11" fillId="4" borderId="8" xfId="0" applyFont="1" applyFill="1" applyBorder="1"/>
    <xf numFmtId="165" fontId="11" fillId="4" borderId="8" xfId="1" applyNumberFormat="1" applyFont="1" applyFill="1" applyBorder="1"/>
    <xf numFmtId="0" fontId="11" fillId="4" borderId="9" xfId="0" applyFont="1" applyFill="1" applyBorder="1"/>
    <xf numFmtId="0" fontId="0" fillId="0" borderId="13" xfId="0" applyFont="1" applyBorder="1"/>
    <xf numFmtId="0" fontId="0" fillId="0" borderId="14" xfId="0" applyFont="1" applyBorder="1"/>
    <xf numFmtId="0" fontId="0" fillId="0" borderId="15" xfId="0" applyFont="1" applyBorder="1"/>
    <xf numFmtId="0" fontId="1" fillId="0" borderId="1" xfId="0" applyFont="1" applyBorder="1"/>
    <xf numFmtId="0" fontId="0" fillId="8" borderId="1" xfId="0" applyFont="1" applyFill="1" applyBorder="1" applyAlignment="1">
      <alignment wrapText="1"/>
    </xf>
    <xf numFmtId="0" fontId="22" fillId="0" borderId="0" xfId="0" applyFont="1"/>
    <xf numFmtId="0" fontId="23" fillId="0" borderId="0" xfId="0" applyFont="1"/>
    <xf numFmtId="0" fontId="24" fillId="0" borderId="0" xfId="0" applyFont="1"/>
    <xf numFmtId="0" fontId="22" fillId="0" borderId="0" xfId="0" applyFont="1" applyFill="1" applyBorder="1"/>
    <xf numFmtId="0" fontId="24" fillId="0" borderId="0" xfId="0" applyFont="1" applyFill="1" applyBorder="1"/>
    <xf numFmtId="0" fontId="22" fillId="0" borderId="1" xfId="0" applyFont="1" applyBorder="1" applyAlignment="1">
      <alignment wrapText="1"/>
    </xf>
    <xf numFmtId="0" fontId="24" fillId="6" borderId="3" xfId="0" applyFont="1" applyFill="1" applyBorder="1" applyAlignment="1">
      <alignment horizontal="center" wrapText="1"/>
    </xf>
    <xf numFmtId="0" fontId="24" fillId="6" borderId="13" xfId="0" applyFont="1" applyFill="1" applyBorder="1" applyAlignment="1">
      <alignment horizontal="center" wrapText="1"/>
    </xf>
    <xf numFmtId="0" fontId="22" fillId="0" borderId="0" xfId="0" applyFont="1" applyAlignment="1">
      <alignment wrapText="1"/>
    </xf>
    <xf numFmtId="165" fontId="22" fillId="0" borderId="0" xfId="1" applyNumberFormat="1" applyFont="1"/>
    <xf numFmtId="0" fontId="24" fillId="0" borderId="1" xfId="0" applyFont="1" applyBorder="1" applyAlignment="1">
      <alignment wrapText="1"/>
    </xf>
    <xf numFmtId="0" fontId="24" fillId="6" borderId="1" xfId="0" applyFont="1" applyFill="1" applyBorder="1" applyAlignment="1">
      <alignment horizontal="center" vertical="center" wrapText="1"/>
    </xf>
    <xf numFmtId="0" fontId="24" fillId="6" borderId="10" xfId="0" applyFont="1" applyFill="1" applyBorder="1" applyAlignment="1">
      <alignment horizontal="center" wrapText="1"/>
    </xf>
    <xf numFmtId="0" fontId="24" fillId="6" borderId="11" xfId="0" applyFont="1" applyFill="1" applyBorder="1" applyAlignment="1">
      <alignment horizontal="center" wrapText="1"/>
    </xf>
    <xf numFmtId="0" fontId="24" fillId="8" borderId="1" xfId="0" applyFont="1" applyFill="1" applyBorder="1" applyAlignment="1">
      <alignment horizontal="center" wrapText="1"/>
    </xf>
    <xf numFmtId="0" fontId="24" fillId="8" borderId="10" xfId="0" applyFont="1" applyFill="1" applyBorder="1" applyAlignment="1">
      <alignment wrapText="1"/>
    </xf>
    <xf numFmtId="0" fontId="24" fillId="8" borderId="11" xfId="0" applyFont="1" applyFill="1" applyBorder="1" applyAlignment="1">
      <alignment wrapText="1"/>
    </xf>
    <xf numFmtId="0" fontId="24" fillId="8" borderId="12" xfId="0" applyFont="1" applyFill="1" applyBorder="1" applyAlignment="1">
      <alignment wrapText="1"/>
    </xf>
    <xf numFmtId="0" fontId="24" fillId="0" borderId="0" xfId="0" applyFont="1" applyAlignment="1">
      <alignment wrapText="1"/>
    </xf>
    <xf numFmtId="0" fontId="25" fillId="0" borderId="0" xfId="0" applyFont="1" applyAlignment="1">
      <alignment horizontal="left" vertical="center"/>
    </xf>
    <xf numFmtId="0" fontId="0" fillId="0" borderId="0" xfId="0" applyFill="1"/>
    <xf numFmtId="0" fontId="11" fillId="0" borderId="0" xfId="0" applyFont="1" applyFill="1"/>
    <xf numFmtId="0" fontId="25" fillId="0" borderId="0" xfId="0" applyFont="1" applyAlignment="1">
      <alignment horizontal="center" vertical="center"/>
    </xf>
    <xf numFmtId="0" fontId="24" fillId="6" borderId="13" xfId="0" applyFont="1" applyFill="1" applyBorder="1" applyAlignment="1">
      <alignment horizontal="center" vertical="center" wrapText="1"/>
    </xf>
    <xf numFmtId="0" fontId="24" fillId="6" borderId="1" xfId="0" applyFont="1" applyFill="1" applyBorder="1" applyAlignment="1">
      <alignment horizontal="center" wrapText="1"/>
    </xf>
    <xf numFmtId="0" fontId="24" fillId="8" borderId="2" xfId="0" applyFont="1" applyFill="1" applyBorder="1" applyAlignment="1">
      <alignment horizontal="center" wrapText="1"/>
    </xf>
    <xf numFmtId="0" fontId="24" fillId="8" borderId="3" xfId="0" applyFont="1" applyFill="1" applyBorder="1" applyAlignment="1">
      <alignment horizontal="center" wrapText="1"/>
    </xf>
    <xf numFmtId="0" fontId="24" fillId="8" borderId="4" xfId="0" applyFont="1" applyFill="1" applyBorder="1" applyAlignment="1">
      <alignment horizontal="center" wrapText="1"/>
    </xf>
    <xf numFmtId="0" fontId="22" fillId="8" borderId="13" xfId="0" applyFont="1" applyFill="1" applyBorder="1" applyAlignment="1">
      <alignment horizontal="center" wrapText="1"/>
    </xf>
    <xf numFmtId="3" fontId="16" fillId="0" borderId="0" xfId="0" applyNumberFormat="1" applyFont="1"/>
    <xf numFmtId="171" fontId="16" fillId="0" borderId="0" xfId="0" applyNumberFormat="1" applyFont="1"/>
    <xf numFmtId="1" fontId="16" fillId="0" borderId="0" xfId="0" applyNumberFormat="1" applyFont="1"/>
    <xf numFmtId="0" fontId="1" fillId="0" borderId="0" xfId="0" applyFont="1" applyAlignment="1">
      <alignment horizontal="center"/>
    </xf>
    <xf numFmtId="1" fontId="12" fillId="0" borderId="0" xfId="0" applyNumberFormat="1" applyFont="1"/>
    <xf numFmtId="0" fontId="26" fillId="0" borderId="0" xfId="0" applyFont="1"/>
    <xf numFmtId="0" fontId="26" fillId="0" borderId="0" xfId="0" applyFont="1" applyAlignment="1">
      <alignment wrapText="1"/>
    </xf>
    <xf numFmtId="0" fontId="28" fillId="0" borderId="0" xfId="0" applyFont="1"/>
    <xf numFmtId="0" fontId="28" fillId="4" borderId="2" xfId="0" applyFont="1" applyFill="1" applyBorder="1"/>
    <xf numFmtId="0" fontId="28" fillId="4" borderId="3" xfId="0" applyFont="1" applyFill="1" applyBorder="1"/>
    <xf numFmtId="0" fontId="28" fillId="4" borderId="4" xfId="0" applyFont="1" applyFill="1" applyBorder="1"/>
    <xf numFmtId="0" fontId="28" fillId="4" borderId="5" xfId="0" applyFont="1" applyFill="1" applyBorder="1"/>
    <xf numFmtId="0" fontId="28" fillId="4" borderId="0" xfId="0" applyFont="1" applyFill="1" applyBorder="1"/>
    <xf numFmtId="0" fontId="28" fillId="4" borderId="6" xfId="0" applyFont="1" applyFill="1" applyBorder="1"/>
    <xf numFmtId="0" fontId="28" fillId="4" borderId="8" xfId="0" applyFont="1" applyFill="1" applyBorder="1"/>
    <xf numFmtId="0" fontId="28" fillId="4" borderId="9" xfId="0" applyFont="1" applyFill="1" applyBorder="1"/>
    <xf numFmtId="0" fontId="29" fillId="0" borderId="0" xfId="0" applyFont="1"/>
    <xf numFmtId="0" fontId="29" fillId="0" borderId="10" xfId="0" applyFont="1" applyBorder="1"/>
    <xf numFmtId="0" fontId="29" fillId="0" borderId="11" xfId="0" applyFont="1" applyFill="1" applyBorder="1" applyAlignment="1"/>
    <xf numFmtId="44" fontId="28" fillId="0" borderId="12" xfId="2" applyFont="1" applyBorder="1"/>
    <xf numFmtId="0" fontId="28" fillId="2" borderId="4" xfId="0" applyFont="1" applyFill="1" applyBorder="1"/>
    <xf numFmtId="166" fontId="28" fillId="0" borderId="0" xfId="2" applyNumberFormat="1" applyFont="1"/>
    <xf numFmtId="0" fontId="29" fillId="0" borderId="12" xfId="0" applyFont="1" applyBorder="1" applyAlignment="1">
      <alignment wrapText="1"/>
    </xf>
    <xf numFmtId="0" fontId="29" fillId="0" borderId="1" xfId="0" applyFont="1" applyBorder="1" applyAlignment="1">
      <alignment wrapText="1"/>
    </xf>
    <xf numFmtId="0" fontId="28" fillId="0" borderId="0" xfId="0" applyFont="1" applyBorder="1" applyAlignment="1">
      <alignment horizontal="center" vertical="center" wrapText="1"/>
    </xf>
    <xf numFmtId="0" fontId="28" fillId="0" borderId="0" xfId="0" applyFont="1" applyBorder="1"/>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3" xfId="0" applyFont="1" applyBorder="1" applyAlignment="1">
      <alignment wrapText="1"/>
    </xf>
    <xf numFmtId="0" fontId="29" fillId="0" borderId="4" xfId="0" applyFont="1" applyBorder="1" applyAlignment="1">
      <alignment wrapText="1"/>
    </xf>
    <xf numFmtId="0" fontId="28" fillId="0" borderId="3" xfId="0" applyFont="1" applyBorder="1"/>
    <xf numFmtId="44" fontId="28" fillId="0" borderId="3" xfId="2" applyFont="1" applyBorder="1"/>
    <xf numFmtId="9" fontId="28" fillId="0" borderId="4" xfId="3" applyFont="1" applyBorder="1" applyAlignment="1">
      <alignment horizontal="center"/>
    </xf>
    <xf numFmtId="0" fontId="28" fillId="0" borderId="5" xfId="0" applyFont="1" applyBorder="1"/>
    <xf numFmtId="0" fontId="28" fillId="0" borderId="6" xfId="0" applyFont="1" applyBorder="1" applyAlignment="1">
      <alignment horizontal="center"/>
    </xf>
    <xf numFmtId="44" fontId="28" fillId="0" borderId="0" xfId="2" applyFont="1" applyBorder="1"/>
    <xf numFmtId="9" fontId="28" fillId="0" borderId="6" xfId="3" applyFont="1" applyBorder="1" applyAlignment="1">
      <alignment horizontal="center"/>
    </xf>
    <xf numFmtId="0" fontId="28" fillId="0" borderId="5" xfId="0" quotePrefix="1" applyFont="1" applyBorder="1"/>
    <xf numFmtId="0" fontId="29" fillId="0" borderId="7" xfId="0" applyFont="1" applyBorder="1"/>
    <xf numFmtId="0" fontId="28" fillId="0" borderId="8" xfId="0" applyFont="1" applyBorder="1"/>
    <xf numFmtId="0" fontId="28" fillId="0" borderId="8" xfId="0" applyFont="1" applyBorder="1" applyAlignment="1">
      <alignment horizontal="right"/>
    </xf>
    <xf numFmtId="0" fontId="28" fillId="0" borderId="9" xfId="0" applyFont="1" applyBorder="1"/>
    <xf numFmtId="0" fontId="30" fillId="0" borderId="0" xfId="0" applyFont="1" applyAlignment="1">
      <alignment horizontal="center"/>
    </xf>
    <xf numFmtId="0" fontId="28" fillId="0" borderId="13" xfId="0" applyFont="1" applyBorder="1"/>
    <xf numFmtId="0" fontId="29" fillId="0" borderId="1" xfId="0" applyFont="1" applyBorder="1" applyAlignment="1">
      <alignment horizontal="center" vertical="center"/>
    </xf>
    <xf numFmtId="0" fontId="29" fillId="0" borderId="1" xfId="0" applyFont="1" applyBorder="1" applyAlignment="1">
      <alignment horizontal="center" wrapText="1"/>
    </xf>
    <xf numFmtId="0" fontId="28" fillId="0" borderId="14" xfId="0" applyFont="1" applyBorder="1"/>
    <xf numFmtId="0" fontId="29" fillId="0" borderId="5" xfId="0" applyFont="1" applyBorder="1" applyAlignment="1">
      <alignment horizontal="center"/>
    </xf>
    <xf numFmtId="0" fontId="29" fillId="0" borderId="0" xfId="0" applyFont="1" applyBorder="1" applyAlignment="1">
      <alignment horizontal="center"/>
    </xf>
    <xf numFmtId="0" fontId="29" fillId="5" borderId="2" xfId="0" applyFont="1" applyFill="1" applyBorder="1" applyAlignment="1">
      <alignment horizontal="center"/>
    </xf>
    <xf numFmtId="0" fontId="29" fillId="5" borderId="4" xfId="0" applyFont="1" applyFill="1" applyBorder="1" applyAlignment="1">
      <alignment horizontal="center"/>
    </xf>
    <xf numFmtId="0" fontId="29" fillId="5" borderId="5" xfId="0" applyFont="1" applyFill="1" applyBorder="1" applyAlignment="1">
      <alignment horizontal="center"/>
    </xf>
    <xf numFmtId="0" fontId="28" fillId="0" borderId="0" xfId="0" applyFont="1" applyBorder="1" applyAlignment="1">
      <alignment horizontal="right"/>
    </xf>
    <xf numFmtId="44" fontId="28" fillId="5" borderId="5" xfId="2" applyFont="1" applyFill="1" applyBorder="1" applyAlignment="1">
      <alignment horizontal="right"/>
    </xf>
    <xf numFmtId="9" fontId="28" fillId="5" borderId="6" xfId="3" applyFont="1" applyFill="1" applyBorder="1" applyAlignment="1">
      <alignment horizontal="center"/>
    </xf>
    <xf numFmtId="0" fontId="29" fillId="5" borderId="6" xfId="0" applyFont="1" applyFill="1" applyBorder="1" applyAlignment="1">
      <alignment horizontal="center"/>
    </xf>
    <xf numFmtId="0" fontId="28" fillId="5" borderId="5" xfId="0" applyFont="1" applyFill="1" applyBorder="1"/>
    <xf numFmtId="44" fontId="28" fillId="5" borderId="5" xfId="2" applyFont="1" applyFill="1" applyBorder="1"/>
    <xf numFmtId="0" fontId="28" fillId="5" borderId="6" xfId="0" applyFont="1" applyFill="1" applyBorder="1" applyAlignment="1">
      <alignment horizontal="center"/>
    </xf>
    <xf numFmtId="0" fontId="31" fillId="0" borderId="0" xfId="0" applyFont="1"/>
    <xf numFmtId="9" fontId="28" fillId="0" borderId="0" xfId="3" applyNumberFormat="1" applyFont="1"/>
    <xf numFmtId="10" fontId="28" fillId="0" borderId="0" xfId="0" applyNumberFormat="1" applyFont="1" applyFill="1"/>
    <xf numFmtId="9" fontId="28" fillId="0" borderId="0" xfId="0" applyNumberFormat="1" applyFont="1"/>
    <xf numFmtId="166" fontId="28" fillId="0" borderId="0" xfId="0" applyNumberFormat="1" applyFont="1"/>
    <xf numFmtId="0" fontId="32" fillId="0" borderId="14" xfId="0" applyFont="1" applyBorder="1" applyAlignment="1">
      <alignment horizontal="left" vertical="center"/>
    </xf>
    <xf numFmtId="0" fontId="28" fillId="5" borderId="34" xfId="0" applyFont="1" applyFill="1" applyBorder="1"/>
    <xf numFmtId="0" fontId="28" fillId="5" borderId="1" xfId="0" applyFont="1" applyFill="1" applyBorder="1" applyAlignment="1">
      <alignment horizontal="center" vertical="center"/>
    </xf>
    <xf numFmtId="0" fontId="28" fillId="5" borderId="9" xfId="0" applyFont="1" applyFill="1" applyBorder="1"/>
    <xf numFmtId="0" fontId="28" fillId="0" borderId="7" xfId="0" applyFont="1" applyFill="1" applyBorder="1" applyAlignment="1">
      <alignment horizontal="right"/>
    </xf>
    <xf numFmtId="44" fontId="28" fillId="5" borderId="7" xfId="2" applyFont="1" applyFill="1" applyBorder="1" applyAlignment="1"/>
    <xf numFmtId="9" fontId="28" fillId="2" borderId="1" xfId="3" applyFont="1" applyFill="1" applyBorder="1"/>
    <xf numFmtId="166" fontId="28" fillId="0" borderId="0" xfId="2" applyNumberFormat="1" applyFont="1" applyFill="1"/>
    <xf numFmtId="0" fontId="29" fillId="0" borderId="4" xfId="0" applyFont="1" applyBorder="1" applyAlignment="1">
      <alignment horizontal="right"/>
    </xf>
    <xf numFmtId="44" fontId="28" fillId="0" borderId="10" xfId="2" applyFont="1" applyBorder="1"/>
    <xf numFmtId="0" fontId="28" fillId="2" borderId="13" xfId="0" applyFont="1" applyFill="1" applyBorder="1"/>
    <xf numFmtId="0" fontId="28" fillId="0" borderId="0" xfId="0" applyFont="1" applyFill="1"/>
    <xf numFmtId="0" fontId="29" fillId="0" borderId="6" xfId="0" applyFont="1" applyBorder="1" applyAlignment="1">
      <alignment horizontal="right"/>
    </xf>
    <xf numFmtId="0" fontId="28" fillId="2" borderId="10" xfId="0" applyFont="1" applyFill="1" applyBorder="1"/>
    <xf numFmtId="9" fontId="28" fillId="0" borderId="34" xfId="3" applyFont="1" applyBorder="1"/>
    <xf numFmtId="165" fontId="28" fillId="0" borderId="11" xfId="1" applyNumberFormat="1" applyFont="1" applyFill="1" applyBorder="1"/>
    <xf numFmtId="9" fontId="28" fillId="2" borderId="15" xfId="3" applyFont="1" applyFill="1" applyBorder="1"/>
    <xf numFmtId="0" fontId="29" fillId="0" borderId="6" xfId="0" applyFont="1" applyFill="1" applyBorder="1" applyAlignment="1">
      <alignment horizontal="right"/>
    </xf>
    <xf numFmtId="169" fontId="28" fillId="0" borderId="11" xfId="1" applyNumberFormat="1" applyFont="1" applyFill="1" applyBorder="1"/>
    <xf numFmtId="165" fontId="28" fillId="0" borderId="0" xfId="1" applyNumberFormat="1" applyFont="1" applyBorder="1"/>
    <xf numFmtId="9" fontId="28" fillId="5" borderId="11" xfId="3" applyFont="1" applyFill="1" applyBorder="1"/>
    <xf numFmtId="0" fontId="29" fillId="0" borderId="0" xfId="0" applyFont="1" applyFill="1" applyBorder="1" applyAlignment="1"/>
    <xf numFmtId="0" fontId="28" fillId="0" borderId="0" xfId="0" applyFont="1" applyFill="1" applyBorder="1"/>
    <xf numFmtId="0" fontId="29" fillId="0" borderId="0" xfId="0" applyFont="1" applyFill="1" applyBorder="1" applyAlignment="1">
      <alignment horizontal="right"/>
    </xf>
    <xf numFmtId="0" fontId="29" fillId="0" borderId="9" xfId="0" applyFont="1" applyBorder="1" applyAlignment="1">
      <alignment horizontal="right"/>
    </xf>
    <xf numFmtId="9" fontId="28" fillId="2" borderId="12" xfId="3" applyFont="1" applyFill="1" applyBorder="1"/>
    <xf numFmtId="0" fontId="34" fillId="0" borderId="0" xfId="0" applyFont="1" applyAlignment="1">
      <alignment horizontal="right"/>
    </xf>
    <xf numFmtId="0" fontId="35" fillId="0" borderId="0" xfId="0" applyFont="1"/>
    <xf numFmtId="0" fontId="34" fillId="0" borderId="0" xfId="0" applyFont="1"/>
    <xf numFmtId="14" fontId="34" fillId="0" borderId="0" xfId="0" applyNumberFormat="1" applyFont="1" applyAlignment="1">
      <alignment horizontal="left"/>
    </xf>
    <xf numFmtId="0" fontId="37" fillId="0" borderId="0" xfId="0" applyFont="1"/>
    <xf numFmtId="0" fontId="35" fillId="0" borderId="0" xfId="0" applyFont="1" applyAlignment="1">
      <alignment horizontal="right"/>
    </xf>
    <xf numFmtId="0" fontId="34" fillId="4" borderId="0" xfId="0" applyFont="1" applyFill="1"/>
    <xf numFmtId="0" fontId="35" fillId="0" borderId="0" xfId="0" applyFont="1" applyFill="1" applyAlignment="1">
      <alignment horizontal="right"/>
    </xf>
    <xf numFmtId="0" fontId="34" fillId="0" borderId="0" xfId="0" applyFont="1" applyFill="1"/>
    <xf numFmtId="0" fontId="34" fillId="4" borderId="0" xfId="0" applyFont="1" applyFill="1" applyAlignment="1">
      <alignment wrapText="1"/>
    </xf>
    <xf numFmtId="0" fontId="34" fillId="4" borderId="0" xfId="0" applyFont="1" applyFill="1" applyAlignment="1">
      <alignment horizontal="left" wrapText="1"/>
    </xf>
    <xf numFmtId="0" fontId="34" fillId="0" borderId="0" xfId="0" applyFont="1" applyFill="1" applyAlignment="1">
      <alignment horizontal="right"/>
    </xf>
    <xf numFmtId="0" fontId="34" fillId="4" borderId="0" xfId="0" applyFont="1" applyFill="1" applyAlignment="1">
      <alignment vertical="top" wrapText="1"/>
    </xf>
    <xf numFmtId="0" fontId="34" fillId="4" borderId="0" xfId="0" applyFont="1" applyFill="1" applyAlignment="1">
      <alignment horizontal="left" vertical="top" wrapText="1"/>
    </xf>
    <xf numFmtId="0" fontId="34" fillId="0" borderId="0" xfId="0" applyFont="1" applyAlignment="1">
      <alignment vertical="top" wrapText="1"/>
    </xf>
    <xf numFmtId="0" fontId="34" fillId="5" borderId="10" xfId="0" applyFont="1" applyFill="1" applyBorder="1"/>
    <xf numFmtId="0" fontId="34" fillId="5" borderId="11" xfId="0" applyFont="1" applyFill="1" applyBorder="1"/>
    <xf numFmtId="0" fontId="34" fillId="5" borderId="12" xfId="0" applyFont="1" applyFill="1" applyBorder="1"/>
    <xf numFmtId="0" fontId="35" fillId="0" borderId="1" xfId="0" applyFont="1" applyBorder="1" applyAlignment="1">
      <alignment horizontal="center"/>
    </xf>
    <xf numFmtId="0" fontId="35" fillId="0" borderId="0" xfId="0" applyFont="1" applyFill="1" applyBorder="1" applyAlignment="1">
      <alignment horizontal="center"/>
    </xf>
    <xf numFmtId="0" fontId="38" fillId="0" borderId="0" xfId="7" applyFont="1" applyFill="1" applyBorder="1" applyAlignment="1">
      <alignment horizontal="center" vertical="center"/>
    </xf>
    <xf numFmtId="0" fontId="38" fillId="0" borderId="33" xfId="7" applyFont="1" applyFill="1" applyBorder="1" applyAlignment="1">
      <alignment horizontal="center" vertical="center"/>
    </xf>
    <xf numFmtId="0" fontId="39" fillId="0" borderId="0" xfId="7" applyFont="1" applyFill="1" applyBorder="1" applyAlignment="1">
      <alignment horizontal="left" vertical="center"/>
    </xf>
    <xf numFmtId="0" fontId="0" fillId="8" borderId="0" xfId="0" applyFill="1" applyBorder="1" applyAlignment="1">
      <alignment horizontal="right"/>
    </xf>
    <xf numFmtId="5" fontId="0" fillId="0" borderId="0" xfId="0" applyNumberFormat="1"/>
    <xf numFmtId="44" fontId="0" fillId="0" borderId="0" xfId="0" applyNumberFormat="1"/>
    <xf numFmtId="0" fontId="0" fillId="0" borderId="0" xfId="0" applyFill="1" applyBorder="1" applyAlignment="1">
      <alignment horizontal="right"/>
    </xf>
    <xf numFmtId="0" fontId="27" fillId="6" borderId="7"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6" fillId="6" borderId="2" xfId="0" applyFont="1" applyFill="1" applyBorder="1"/>
    <xf numFmtId="0" fontId="26" fillId="6" borderId="7" xfId="0" applyFont="1" applyFill="1" applyBorder="1" applyAlignment="1">
      <alignment wrapText="1"/>
    </xf>
    <xf numFmtId="0" fontId="1" fillId="6" borderId="1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5" borderId="1" xfId="0" applyFont="1" applyFill="1" applyBorder="1" applyAlignment="1">
      <alignment horizontal="center" wrapText="1"/>
    </xf>
    <xf numFmtId="6" fontId="26" fillId="0" borderId="0" xfId="0" applyNumberFormat="1" applyFont="1" applyFill="1" applyBorder="1"/>
    <xf numFmtId="0" fontId="0" fillId="0" borderId="5" xfId="0" applyFont="1" applyBorder="1"/>
    <xf numFmtId="0" fontId="28" fillId="0" borderId="8" xfId="0" applyFont="1" applyFill="1" applyBorder="1"/>
    <xf numFmtId="0" fontId="28" fillId="0" borderId="7" xfId="0" applyFont="1" applyBorder="1"/>
    <xf numFmtId="0" fontId="29" fillId="0" borderId="14" xfId="0" applyFont="1" applyBorder="1"/>
    <xf numFmtId="44" fontId="28" fillId="0" borderId="8" xfId="2" applyFont="1" applyFill="1" applyBorder="1"/>
    <xf numFmtId="0" fontId="28" fillId="0" borderId="9" xfId="0" applyFont="1" applyFill="1" applyBorder="1"/>
    <xf numFmtId="0" fontId="1" fillId="0" borderId="0" xfId="0" applyFont="1" applyAlignment="1">
      <alignment horizontal="center" wrapText="1"/>
    </xf>
    <xf numFmtId="172" fontId="16" fillId="0" borderId="1" xfId="0" applyNumberFormat="1" applyFont="1" applyBorder="1"/>
    <xf numFmtId="172" fontId="16" fillId="0" borderId="14" xfId="1" applyNumberFormat="1" applyFont="1" applyBorder="1"/>
    <xf numFmtId="0" fontId="1" fillId="0" borderId="1" xfId="0" applyFont="1" applyBorder="1" applyAlignment="1">
      <alignment horizontal="center"/>
    </xf>
    <xf numFmtId="0" fontId="1" fillId="0" borderId="1" xfId="0" applyFont="1" applyBorder="1" applyAlignment="1">
      <alignment horizontal="center" wrapText="1"/>
    </xf>
    <xf numFmtId="0" fontId="1" fillId="8" borderId="10" xfId="0" applyFont="1" applyFill="1" applyBorder="1" applyAlignment="1">
      <alignment horizontal="left"/>
    </xf>
    <xf numFmtId="0" fontId="0" fillId="0" borderId="0" xfId="0" applyFont="1" applyAlignment="1">
      <alignment wrapText="1"/>
    </xf>
    <xf numFmtId="0" fontId="22" fillId="8" borderId="1" xfId="0" applyFont="1" applyFill="1" applyBorder="1" applyAlignment="1">
      <alignment horizontal="center"/>
    </xf>
    <xf numFmtId="165" fontId="22" fillId="6" borderId="1" xfId="1" applyNumberFormat="1" applyFont="1" applyFill="1" applyBorder="1" applyAlignment="1">
      <alignment horizontal="center"/>
    </xf>
    <xf numFmtId="0" fontId="0" fillId="0" borderId="2" xfId="0" applyFont="1" applyBorder="1"/>
    <xf numFmtId="0" fontId="40" fillId="0" borderId="0" xfId="0" applyFont="1"/>
    <xf numFmtId="0" fontId="40" fillId="0" borderId="0" xfId="0" applyFont="1" applyAlignment="1">
      <alignment horizontal="center"/>
    </xf>
    <xf numFmtId="0" fontId="0" fillId="0" borderId="1" xfId="0" applyBorder="1" applyAlignment="1">
      <alignment horizontal="center"/>
    </xf>
    <xf numFmtId="0" fontId="1" fillId="0" borderId="8" xfId="0" applyFont="1" applyBorder="1" applyAlignment="1">
      <alignment horizontal="left"/>
    </xf>
    <xf numFmtId="0" fontId="1" fillId="6" borderId="1" xfId="0" applyFont="1" applyFill="1" applyBorder="1" applyAlignment="1">
      <alignment horizontal="center" textRotation="90" wrapText="1"/>
    </xf>
    <xf numFmtId="0" fontId="0" fillId="0" borderId="0" xfId="0" applyFont="1" applyAlignment="1">
      <alignment horizontal="center" wrapText="1"/>
    </xf>
    <xf numFmtId="0" fontId="0" fillId="0" borderId="0" xfId="0" applyFont="1" applyBorder="1"/>
    <xf numFmtId="0" fontId="0" fillId="4" borderId="0" xfId="0" applyFont="1" applyFill="1"/>
    <xf numFmtId="0" fontId="1" fillId="6" borderId="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6" fillId="9" borderId="14" xfId="0" applyFont="1" applyFill="1" applyBorder="1"/>
    <xf numFmtId="0" fontId="6" fillId="9" borderId="15" xfId="0" applyFont="1" applyFill="1" applyBorder="1"/>
    <xf numFmtId="0" fontId="0" fillId="0" borderId="0" xfId="0" applyFont="1" applyFill="1"/>
    <xf numFmtId="0" fontId="26" fillId="0" borderId="0" xfId="0" applyFont="1" applyFill="1"/>
    <xf numFmtId="3" fontId="0" fillId="6" borderId="7" xfId="1" applyNumberFormat="1" applyFont="1" applyFill="1" applyBorder="1"/>
    <xf numFmtId="0" fontId="0" fillId="5" borderId="1" xfId="0" applyFill="1" applyBorder="1" applyAlignment="1">
      <alignment horizontal="center"/>
    </xf>
    <xf numFmtId="0" fontId="11" fillId="5" borderId="10" xfId="0" applyFont="1" applyFill="1" applyBorder="1"/>
    <xf numFmtId="165" fontId="11" fillId="6" borderId="1" xfId="1" applyNumberFormat="1" applyFont="1" applyFill="1" applyBorder="1"/>
    <xf numFmtId="1" fontId="11" fillId="6" borderId="1" xfId="1" applyNumberFormat="1" applyFont="1" applyFill="1" applyBorder="1" applyAlignment="1">
      <alignment horizontal="center" vertical="center"/>
    </xf>
    <xf numFmtId="166" fontId="2" fillId="5" borderId="11" xfId="2" applyNumberFormat="1" applyFont="1" applyFill="1" applyBorder="1"/>
    <xf numFmtId="166" fontId="2" fillId="5" borderId="10" xfId="2" applyNumberFormat="1" applyFont="1" applyFill="1" applyBorder="1"/>
    <xf numFmtId="2" fontId="11" fillId="6" borderId="1" xfId="0" applyNumberFormat="1" applyFont="1" applyFill="1" applyBorder="1" applyAlignment="1">
      <alignment horizontal="center"/>
    </xf>
    <xf numFmtId="9" fontId="0" fillId="5" borderId="12" xfId="3" applyFont="1" applyFill="1" applyBorder="1" applyAlignment="1">
      <alignment horizontal="center"/>
    </xf>
    <xf numFmtId="0" fontId="29" fillId="0" borderId="0" xfId="0" applyFont="1" applyFill="1" applyBorder="1" applyAlignment="1">
      <alignment horizontal="center"/>
    </xf>
    <xf numFmtId="0" fontId="28" fillId="0" borderId="0" xfId="0" applyFont="1" applyFill="1" applyBorder="1" applyAlignment="1">
      <alignment horizontal="right"/>
    </xf>
    <xf numFmtId="165" fontId="28" fillId="0" borderId="0" xfId="1" applyNumberFormat="1" applyFont="1" applyFill="1" applyBorder="1"/>
    <xf numFmtId="0" fontId="30" fillId="0" borderId="0" xfId="0" applyFont="1" applyFill="1" applyBorder="1" applyAlignment="1">
      <alignment horizontal="center"/>
    </xf>
    <xf numFmtId="0" fontId="33" fillId="0" borderId="0" xfId="0" applyFont="1" applyFill="1" applyBorder="1"/>
    <xf numFmtId="9" fontId="28" fillId="0" borderId="0" xfId="0" applyNumberFormat="1" applyFont="1" applyFill="1" applyBorder="1"/>
    <xf numFmtId="166" fontId="28" fillId="0" borderId="0" xfId="0" applyNumberFormat="1" applyFont="1" applyFill="1" applyBorder="1"/>
    <xf numFmtId="0" fontId="31" fillId="0" borderId="0" xfId="0" applyFont="1" applyFill="1" applyBorder="1"/>
    <xf numFmtId="166" fontId="28" fillId="0" borderId="0" xfId="2" applyNumberFormat="1" applyFont="1" applyFill="1" applyBorder="1"/>
    <xf numFmtId="9" fontId="28" fillId="0" borderId="0" xfId="3" applyNumberFormat="1" applyFont="1" applyFill="1" applyBorder="1"/>
    <xf numFmtId="10" fontId="28" fillId="0" borderId="0" xfId="0" applyNumberFormat="1" applyFont="1" applyFill="1" applyBorder="1"/>
    <xf numFmtId="9" fontId="28" fillId="0" borderId="0" xfId="3" applyFont="1" applyFill="1" applyBorder="1"/>
    <xf numFmtId="0" fontId="29" fillId="0" borderId="0" xfId="0" applyFont="1" applyFill="1" applyBorder="1" applyAlignment="1">
      <alignment horizontal="center" vertical="center"/>
    </xf>
    <xf numFmtId="0" fontId="29" fillId="0" borderId="0" xfId="0" applyFont="1" applyFill="1" applyBorder="1" applyAlignment="1">
      <alignment horizontal="center" wrapText="1"/>
    </xf>
    <xf numFmtId="44" fontId="28" fillId="0" borderId="0" xfId="2" applyFont="1" applyFill="1" applyBorder="1" applyAlignment="1">
      <alignment horizontal="right"/>
    </xf>
    <xf numFmtId="9" fontId="28" fillId="0" borderId="0" xfId="3" applyFont="1" applyFill="1" applyBorder="1" applyAlignment="1">
      <alignment horizontal="center"/>
    </xf>
    <xf numFmtId="44" fontId="28" fillId="0" borderId="0" xfId="2" applyFont="1" applyFill="1" applyBorder="1"/>
    <xf numFmtId="0" fontId="28" fillId="0" borderId="0" xfId="0" applyFont="1" applyFill="1" applyBorder="1" applyAlignment="1">
      <alignment horizontal="center"/>
    </xf>
    <xf numFmtId="0" fontId="32" fillId="0" borderId="0" xfId="0" applyFont="1" applyFill="1" applyBorder="1" applyAlignment="1">
      <alignment horizontal="left" vertical="center"/>
    </xf>
    <xf numFmtId="0" fontId="28" fillId="0" borderId="0" xfId="0" applyFont="1" applyFill="1" applyBorder="1" applyAlignment="1">
      <alignment horizontal="center" vertical="center"/>
    </xf>
    <xf numFmtId="44" fontId="28" fillId="0" borderId="0" xfId="2" applyFont="1" applyFill="1" applyBorder="1" applyAlignment="1"/>
    <xf numFmtId="169" fontId="28" fillId="0" borderId="0" xfId="1" applyNumberFormat="1" applyFont="1" applyFill="1" applyBorder="1"/>
    <xf numFmtId="166" fontId="28" fillId="0" borderId="36" xfId="2" applyNumberFormat="1" applyFont="1" applyFill="1" applyBorder="1"/>
    <xf numFmtId="0" fontId="14" fillId="0" borderId="10" xfId="0" applyFont="1" applyBorder="1" applyAlignment="1">
      <alignment horizontal="center"/>
    </xf>
    <xf numFmtId="0" fontId="14" fillId="6" borderId="1" xfId="0" applyFont="1" applyFill="1" applyBorder="1"/>
    <xf numFmtId="9" fontId="16" fillId="5" borderId="1" xfId="3" applyFont="1" applyFill="1" applyBorder="1" applyAlignment="1">
      <alignment horizontal="center"/>
    </xf>
    <xf numFmtId="1" fontId="16" fillId="6" borderId="1" xfId="1" applyNumberFormat="1" applyFont="1" applyFill="1" applyBorder="1" applyAlignment="1">
      <alignment horizontal="center"/>
    </xf>
    <xf numFmtId="0" fontId="26" fillId="0" borderId="1" xfId="0" applyFont="1" applyFill="1" applyBorder="1" applyAlignment="1">
      <alignment horizontal="center"/>
    </xf>
    <xf numFmtId="0" fontId="26" fillId="0" borderId="1" xfId="0" applyFont="1" applyFill="1" applyBorder="1"/>
    <xf numFmtId="0" fontId="26" fillId="0" borderId="10" xfId="0" applyFont="1" applyFill="1" applyBorder="1" applyAlignment="1">
      <alignment horizontal="center"/>
    </xf>
    <xf numFmtId="6" fontId="26" fillId="0" borderId="11" xfId="0" applyNumberFormat="1" applyFont="1" applyFill="1" applyBorder="1"/>
    <xf numFmtId="0" fontId="26" fillId="0" borderId="1" xfId="1" applyNumberFormat="1" applyFont="1" applyFill="1" applyBorder="1" applyAlignment="1">
      <alignment horizontal="center"/>
    </xf>
    <xf numFmtId="6" fontId="26" fillId="0" borderId="1" xfId="0" applyNumberFormat="1" applyFont="1" applyFill="1" applyBorder="1"/>
    <xf numFmtId="0" fontId="26" fillId="0" borderId="3" xfId="0" applyFont="1" applyFill="1" applyBorder="1"/>
    <xf numFmtId="0" fontId="1" fillId="0" borderId="0" xfId="0" applyFont="1" applyFill="1" applyBorder="1" applyAlignment="1">
      <alignment horizontal="center" vertical="center" wrapText="1"/>
    </xf>
    <xf numFmtId="0" fontId="0" fillId="6" borderId="1" xfId="0" applyFill="1" applyBorder="1"/>
    <xf numFmtId="3" fontId="0" fillId="6" borderId="10" xfId="0" applyNumberFormat="1" applyFill="1" applyBorder="1"/>
    <xf numFmtId="3" fontId="0" fillId="6" borderId="11" xfId="0" applyNumberFormat="1" applyFill="1" applyBorder="1"/>
    <xf numFmtId="3" fontId="0" fillId="6" borderId="12" xfId="0" applyNumberFormat="1" applyFill="1" applyBorder="1"/>
    <xf numFmtId="3" fontId="0" fillId="8" borderId="10" xfId="0" applyNumberFormat="1" applyFill="1" applyBorder="1"/>
    <xf numFmtId="3" fontId="0" fillId="8" borderId="11" xfId="0" applyNumberFormat="1" applyFill="1" applyBorder="1"/>
    <xf numFmtId="3" fontId="0" fillId="8" borderId="12" xfId="0" applyNumberFormat="1" applyFill="1" applyBorder="1"/>
    <xf numFmtId="169" fontId="14" fillId="6" borderId="1" xfId="1" applyNumberFormat="1" applyFont="1" applyFill="1" applyBorder="1" applyAlignment="1">
      <alignment vertical="center"/>
    </xf>
    <xf numFmtId="9" fontId="14" fillId="6" borderId="10" xfId="3" applyFont="1" applyFill="1" applyBorder="1" applyAlignment="1">
      <alignment vertical="center"/>
    </xf>
    <xf numFmtId="169" fontId="14" fillId="8" borderId="10" xfId="1" applyNumberFormat="1" applyFont="1" applyFill="1" applyBorder="1"/>
    <xf numFmtId="169" fontId="14" fillId="8" borderId="11" xfId="1" applyNumberFormat="1" applyFont="1" applyFill="1" applyBorder="1"/>
    <xf numFmtId="169" fontId="14" fillId="8" borderId="12" xfId="1" applyNumberFormat="1" applyFont="1" applyFill="1" applyBorder="1"/>
    <xf numFmtId="3" fontId="14" fillId="8" borderId="10" xfId="0" applyNumberFormat="1" applyFont="1" applyFill="1" applyBorder="1"/>
    <xf numFmtId="3" fontId="14" fillId="8" borderId="11" xfId="0" applyNumberFormat="1" applyFont="1" applyFill="1" applyBorder="1"/>
    <xf numFmtId="3" fontId="14" fillId="8" borderId="12" xfId="0" applyNumberFormat="1" applyFont="1" applyFill="1" applyBorder="1"/>
    <xf numFmtId="0" fontId="22" fillId="0" borderId="1" xfId="0" applyFont="1" applyBorder="1" applyAlignment="1">
      <alignment horizontal="center"/>
    </xf>
    <xf numFmtId="0" fontId="22" fillId="6" borderId="1" xfId="0" applyFont="1" applyFill="1" applyBorder="1"/>
    <xf numFmtId="1" fontId="22" fillId="6" borderId="11" xfId="3" applyNumberFormat="1" applyFont="1" applyFill="1" applyBorder="1" applyAlignment="1">
      <alignment horizontal="center"/>
    </xf>
    <xf numFmtId="9" fontId="22" fillId="6" borderId="11" xfId="3" applyFont="1" applyFill="1" applyBorder="1" applyAlignment="1">
      <alignment horizontal="center"/>
    </xf>
    <xf numFmtId="0" fontId="22" fillId="8" borderId="10" xfId="0" applyFont="1" applyFill="1" applyBorder="1" applyAlignment="1">
      <alignment horizontal="center"/>
    </xf>
    <xf numFmtId="0" fontId="22" fillId="8" borderId="11" xfId="0" applyFont="1" applyFill="1" applyBorder="1" applyAlignment="1">
      <alignment horizontal="center"/>
    </xf>
    <xf numFmtId="0" fontId="22" fillId="8" borderId="12" xfId="0" applyFont="1" applyFill="1" applyBorder="1" applyAlignment="1">
      <alignment horizontal="center"/>
    </xf>
    <xf numFmtId="166" fontId="22" fillId="6" borderId="1" xfId="0" applyNumberFormat="1" applyFont="1" applyFill="1" applyBorder="1"/>
    <xf numFmtId="6" fontId="22" fillId="8" borderId="12" xfId="0" applyNumberFormat="1" applyFont="1" applyFill="1" applyBorder="1"/>
    <xf numFmtId="166" fontId="22" fillId="8" borderId="10" xfId="2" applyNumberFormat="1" applyFont="1" applyFill="1" applyBorder="1"/>
    <xf numFmtId="166" fontId="22" fillId="8" borderId="11" xfId="2" applyNumberFormat="1" applyFont="1" applyFill="1" applyBorder="1"/>
    <xf numFmtId="166" fontId="22" fillId="8" borderId="12" xfId="2" applyNumberFormat="1" applyFont="1" applyFill="1" applyBorder="1"/>
    <xf numFmtId="0" fontId="16" fillId="0" borderId="1" xfId="0" applyFont="1" applyBorder="1" applyAlignment="1">
      <alignment horizontal="center"/>
    </xf>
    <xf numFmtId="0" fontId="16" fillId="6" borderId="10" xfId="0" applyFont="1" applyFill="1" applyBorder="1"/>
    <xf numFmtId="0" fontId="16" fillId="6" borderId="10" xfId="3" applyNumberFormat="1" applyFont="1" applyFill="1" applyBorder="1" applyAlignment="1">
      <alignment horizontal="center"/>
    </xf>
    <xf numFmtId="0" fontId="16" fillId="6" borderId="1" xfId="3" applyNumberFormat="1" applyFont="1" applyFill="1" applyBorder="1" applyAlignment="1">
      <alignment horizontal="center"/>
    </xf>
    <xf numFmtId="0" fontId="16" fillId="8" borderId="10" xfId="0" applyFont="1" applyFill="1" applyBorder="1"/>
    <xf numFmtId="0" fontId="16" fillId="8" borderId="11" xfId="0" applyFont="1" applyFill="1" applyBorder="1"/>
    <xf numFmtId="0" fontId="16" fillId="8" borderId="12" xfId="0" applyFont="1" applyFill="1" applyBorder="1"/>
    <xf numFmtId="0" fontId="0" fillId="8" borderId="1" xfId="0" applyFont="1" applyFill="1" applyBorder="1"/>
    <xf numFmtId="0" fontId="16" fillId="6" borderId="1" xfId="0" applyFont="1" applyFill="1" applyBorder="1"/>
    <xf numFmtId="167" fontId="16" fillId="6" borderId="10" xfId="3" applyNumberFormat="1" applyFont="1" applyFill="1" applyBorder="1" applyAlignment="1">
      <alignment horizontal="center"/>
    </xf>
    <xf numFmtId="9" fontId="16" fillId="6" borderId="1" xfId="3" applyFont="1" applyFill="1" applyBorder="1" applyAlignment="1">
      <alignment horizontal="center"/>
    </xf>
    <xf numFmtId="0" fontId="16" fillId="0" borderId="10" xfId="0" applyFont="1" applyBorder="1" applyAlignment="1">
      <alignment horizontal="center"/>
    </xf>
    <xf numFmtId="0" fontId="16" fillId="6" borderId="10" xfId="0" applyFont="1" applyFill="1" applyBorder="1" applyAlignment="1">
      <alignment horizontal="left"/>
    </xf>
    <xf numFmtId="167" fontId="16" fillId="6" borderId="11" xfId="3" applyNumberFormat="1" applyFont="1" applyFill="1" applyBorder="1" applyAlignment="1">
      <alignment horizontal="center"/>
    </xf>
    <xf numFmtId="9" fontId="16" fillId="6" borderId="12" xfId="3" applyFont="1" applyFill="1" applyBorder="1" applyAlignment="1">
      <alignment horizontal="center"/>
    </xf>
    <xf numFmtId="3" fontId="16" fillId="8" borderId="11" xfId="0" applyNumberFormat="1" applyFont="1" applyFill="1" applyBorder="1"/>
    <xf numFmtId="3" fontId="16" fillId="0" borderId="11" xfId="0" applyNumberFormat="1" applyFont="1" applyBorder="1"/>
    <xf numFmtId="10" fontId="16" fillId="0" borderId="12" xfId="3" applyNumberFormat="1" applyFont="1" applyBorder="1"/>
    <xf numFmtId="168" fontId="16" fillId="6" borderId="1" xfId="0" applyNumberFormat="1" applyFont="1" applyFill="1" applyBorder="1" applyAlignment="1">
      <alignment horizontal="center"/>
    </xf>
    <xf numFmtId="168" fontId="16" fillId="6" borderId="11" xfId="0" applyNumberFormat="1" applyFont="1" applyFill="1" applyBorder="1" applyAlignment="1">
      <alignment horizontal="right"/>
    </xf>
    <xf numFmtId="5" fontId="16" fillId="8" borderId="10" xfId="2" applyNumberFormat="1" applyFont="1" applyFill="1" applyBorder="1"/>
    <xf numFmtId="5" fontId="16" fillId="8" borderId="11" xfId="2" applyNumberFormat="1" applyFont="1" applyFill="1" applyBorder="1"/>
    <xf numFmtId="5" fontId="16" fillId="8" borderId="12" xfId="2" applyNumberFormat="1" applyFont="1" applyFill="1" applyBorder="1"/>
    <xf numFmtId="165" fontId="16" fillId="6" borderId="12" xfId="1" applyNumberFormat="1" applyFont="1" applyFill="1" applyBorder="1" applyAlignment="1">
      <alignment horizontal="right"/>
    </xf>
    <xf numFmtId="3" fontId="16" fillId="8" borderId="10" xfId="0" applyNumberFormat="1" applyFont="1" applyFill="1" applyBorder="1"/>
    <xf numFmtId="3" fontId="16" fillId="8" borderId="12" xfId="0" applyNumberFormat="1" applyFont="1" applyFill="1" applyBorder="1"/>
    <xf numFmtId="0" fontId="12" fillId="6" borderId="1" xfId="0" applyFont="1" applyFill="1" applyBorder="1"/>
    <xf numFmtId="3" fontId="0" fillId="6" borderId="10" xfId="0" applyNumberFormat="1" applyFill="1" applyBorder="1" applyAlignment="1">
      <alignment horizontal="center"/>
    </xf>
    <xf numFmtId="3" fontId="0" fillId="6" borderId="1" xfId="0" applyNumberFormat="1" applyFill="1" applyBorder="1" applyAlignment="1">
      <alignment horizontal="center"/>
    </xf>
    <xf numFmtId="0" fontId="12" fillId="8" borderId="10" xfId="0" applyFont="1" applyFill="1" applyBorder="1" applyAlignment="1">
      <alignment horizontal="center"/>
    </xf>
    <xf numFmtId="6" fontId="12" fillId="6" borderId="10" xfId="0" applyNumberFormat="1" applyFont="1" applyFill="1" applyBorder="1"/>
    <xf numFmtId="166" fontId="12" fillId="6" borderId="11" xfId="2" applyNumberFormat="1" applyFont="1" applyFill="1" applyBorder="1"/>
    <xf numFmtId="6" fontId="12" fillId="6" borderId="12" xfId="0" applyNumberFormat="1" applyFont="1" applyFill="1" applyBorder="1"/>
    <xf numFmtId="44" fontId="12" fillId="8" borderId="10" xfId="2" applyFont="1" applyFill="1" applyBorder="1"/>
    <xf numFmtId="166" fontId="12" fillId="8" borderId="11" xfId="2" applyNumberFormat="1" applyFont="1" applyFill="1" applyBorder="1"/>
    <xf numFmtId="166" fontId="12" fillId="8" borderId="12" xfId="2" applyNumberFormat="1" applyFont="1" applyFill="1" applyBorder="1"/>
    <xf numFmtId="0" fontId="26" fillId="0" borderId="0" xfId="0" applyFont="1" applyFill="1" applyBorder="1"/>
    <xf numFmtId="0" fontId="26" fillId="0" borderId="0" xfId="0" applyFont="1" applyFill="1" applyBorder="1" applyAlignment="1">
      <alignment horizontal="center"/>
    </xf>
    <xf numFmtId="0" fontId="26" fillId="0" borderId="0" xfId="1" applyNumberFormat="1" applyFont="1" applyFill="1" applyBorder="1" applyAlignment="1">
      <alignment horizontal="center"/>
    </xf>
    <xf numFmtId="0" fontId="0" fillId="4" borderId="2" xfId="0" applyFont="1" applyFill="1" applyBorder="1"/>
    <xf numFmtId="0" fontId="29" fillId="0" borderId="11" xfId="0" applyFont="1" applyBorder="1" applyAlignment="1">
      <alignment horizontal="center" vertical="center"/>
    </xf>
    <xf numFmtId="0" fontId="1" fillId="6" borderId="15" xfId="0" applyFont="1" applyFill="1" applyBorder="1" applyAlignment="1">
      <alignment horizontal="center" vertical="center" wrapText="1"/>
    </xf>
    <xf numFmtId="0" fontId="27" fillId="6" borderId="11" xfId="0" applyFont="1" applyFill="1" applyBorder="1" applyAlignment="1">
      <alignment horizontal="center"/>
    </xf>
    <xf numFmtId="0" fontId="0" fillId="5" borderId="13" xfId="0" applyFill="1" applyBorder="1" applyAlignment="1">
      <alignment vertical="center"/>
    </xf>
    <xf numFmtId="0" fontId="0" fillId="0" borderId="6" xfId="0" applyBorder="1" applyAlignment="1">
      <alignment horizontal="center" vertical="center"/>
    </xf>
    <xf numFmtId="0" fontId="1" fillId="6" borderId="13" xfId="0" applyFont="1" applyFill="1" applyBorder="1" applyAlignment="1">
      <alignment horizontal="center" vertical="center"/>
    </xf>
    <xf numFmtId="0" fontId="1" fillId="6" borderId="15" xfId="0" applyFont="1" applyFill="1" applyBorder="1" applyAlignment="1">
      <alignment horizontal="center" vertical="center"/>
    </xf>
    <xf numFmtId="0" fontId="0" fillId="0" borderId="5" xfId="0"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0" xfId="0" applyFont="1" applyBorder="1" applyAlignment="1">
      <alignment horizontal="center" wrapText="1"/>
    </xf>
    <xf numFmtId="0" fontId="29" fillId="0" borderId="0" xfId="0" applyFont="1" applyFill="1" applyBorder="1" applyAlignment="1">
      <alignment vertical="center"/>
    </xf>
    <xf numFmtId="0" fontId="36" fillId="0" borderId="0" xfId="0" applyFont="1" applyAlignment="1"/>
    <xf numFmtId="0" fontId="35" fillId="4" borderId="13" xfId="0" applyFont="1" applyFill="1" applyBorder="1" applyAlignment="1">
      <alignment vertical="center"/>
    </xf>
    <xf numFmtId="0" fontId="34" fillId="4" borderId="13" xfId="0" applyFont="1" applyFill="1" applyBorder="1" applyAlignment="1">
      <alignment vertical="top" wrapText="1"/>
    </xf>
    <xf numFmtId="0" fontId="0" fillId="4" borderId="13" xfId="0" applyFont="1" applyFill="1" applyBorder="1" applyAlignment="1">
      <alignment vertical="top" wrapText="1"/>
    </xf>
    <xf numFmtId="0" fontId="0" fillId="4" borderId="13" xfId="0" applyFont="1" applyFill="1" applyBorder="1" applyAlignment="1">
      <alignment wrapText="1"/>
    </xf>
    <xf numFmtId="0" fontId="0" fillId="4" borderId="1" xfId="0" applyFont="1" applyFill="1" applyBorder="1" applyAlignment="1">
      <alignment vertical="top" wrapText="1"/>
    </xf>
    <xf numFmtId="0" fontId="34" fillId="0" borderId="14" xfId="0" applyFont="1" applyBorder="1" applyAlignment="1">
      <alignment vertical="top" wrapText="1"/>
    </xf>
    <xf numFmtId="0" fontId="34" fillId="0" borderId="5" xfId="0" applyFont="1" applyFill="1" applyBorder="1" applyAlignment="1">
      <alignment vertical="center"/>
    </xf>
    <xf numFmtId="0" fontId="34" fillId="0" borderId="0" xfId="0" applyFont="1" applyFill="1" applyBorder="1" applyAlignment="1">
      <alignment vertical="center"/>
    </xf>
    <xf numFmtId="0" fontId="34" fillId="0" borderId="5" xfId="0" applyFont="1" applyFill="1" applyBorder="1" applyAlignment="1">
      <alignment vertical="top" wrapText="1"/>
    </xf>
    <xf numFmtId="0" fontId="34" fillId="0" borderId="0" xfId="0" applyFont="1" applyFill="1" applyBorder="1" applyAlignment="1">
      <alignment vertical="top" wrapText="1"/>
    </xf>
    <xf numFmtId="0" fontId="34" fillId="0" borderId="5" xfId="0" applyFont="1" applyFill="1" applyBorder="1" applyAlignment="1">
      <alignment wrapText="1"/>
    </xf>
    <xf numFmtId="0" fontId="34" fillId="0" borderId="0" xfId="0" applyFont="1" applyFill="1" applyBorder="1" applyAlignment="1">
      <alignment wrapText="1"/>
    </xf>
    <xf numFmtId="0" fontId="34" fillId="0" borderId="5" xfId="0" applyFont="1" applyFill="1" applyBorder="1"/>
    <xf numFmtId="0" fontId="36" fillId="0" borderId="0" xfId="0" applyFont="1" applyFill="1" applyAlignment="1"/>
    <xf numFmtId="0" fontId="34" fillId="0" borderId="0" xfId="0" applyFont="1" applyFill="1" applyAlignment="1">
      <alignment wrapText="1"/>
    </xf>
    <xf numFmtId="0" fontId="34" fillId="0" borderId="0" xfId="0" applyFont="1" applyFill="1" applyAlignment="1">
      <alignment horizontal="left" wrapText="1"/>
    </xf>
    <xf numFmtId="0" fontId="34" fillId="0" borderId="0" xfId="0" applyFont="1" applyFill="1" applyAlignment="1">
      <alignment vertical="top" wrapText="1"/>
    </xf>
    <xf numFmtId="0" fontId="34" fillId="0" borderId="0" xfId="0" applyFont="1" applyFill="1" applyAlignment="1">
      <alignment horizontal="left" vertical="top" wrapText="1"/>
    </xf>
    <xf numFmtId="0" fontId="34" fillId="0" borderId="0" xfId="0" applyFont="1" applyFill="1" applyBorder="1"/>
    <xf numFmtId="0" fontId="34" fillId="0" borderId="15" xfId="0" applyFont="1" applyFill="1" applyBorder="1" applyAlignment="1">
      <alignment vertical="top" wrapText="1"/>
    </xf>
    <xf numFmtId="0" fontId="34" fillId="0" borderId="15" xfId="0" applyFont="1" applyFill="1" applyBorder="1" applyAlignment="1">
      <alignment vertical="center"/>
    </xf>
    <xf numFmtId="0" fontId="34" fillId="0" borderId="15" xfId="0" applyFont="1" applyFill="1" applyBorder="1" applyAlignment="1">
      <alignment wrapText="1"/>
    </xf>
    <xf numFmtId="0" fontId="1" fillId="5" borderId="12" xfId="0" applyFont="1" applyFill="1" applyBorder="1" applyAlignment="1">
      <alignment vertical="center"/>
    </xf>
    <xf numFmtId="0" fontId="1" fillId="5" borderId="10" xfId="0" applyFont="1" applyFill="1" applyBorder="1" applyAlignment="1">
      <alignment horizontal="left" vertical="center" indent="6"/>
    </xf>
    <xf numFmtId="0" fontId="29" fillId="0" borderId="11" xfId="0" applyFont="1" applyBorder="1" applyAlignment="1"/>
    <xf numFmtId="0" fontId="29" fillId="0" borderId="11" xfId="0" applyFont="1" applyBorder="1" applyAlignment="1">
      <alignment horizontal="right"/>
    </xf>
    <xf numFmtId="0" fontId="29" fillId="0" borderId="7" xfId="0" applyFont="1" applyBorder="1" applyAlignment="1"/>
    <xf numFmtId="0" fontId="29" fillId="0" borderId="8" xfId="0" applyFont="1" applyBorder="1" applyAlignment="1"/>
    <xf numFmtId="0" fontId="29" fillId="0" borderId="1" xfId="0" applyFont="1" applyBorder="1" applyAlignment="1">
      <alignment vertical="center"/>
    </xf>
    <xf numFmtId="0" fontId="29" fillId="0" borderId="1" xfId="0" applyFont="1" applyBorder="1" applyAlignment="1">
      <alignment horizontal="left" vertical="center" indent="5"/>
    </xf>
    <xf numFmtId="0" fontId="29" fillId="0" borderId="10" xfId="0"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27" fillId="6" borderId="10" xfId="0" applyFont="1" applyFill="1" applyBorder="1" applyAlignment="1">
      <alignment horizontal="left" vertical="center" indent="4"/>
    </xf>
    <xf numFmtId="0" fontId="27" fillId="6" borderId="12" xfId="0" applyFont="1" applyFill="1" applyBorder="1" applyAlignment="1">
      <alignment horizontal="left" vertical="center" indent="4"/>
    </xf>
    <xf numFmtId="0" fontId="1" fillId="0" borderId="0" xfId="0" applyFont="1" applyFill="1" applyBorder="1" applyAlignment="1">
      <alignment vertical="center" wrapText="1"/>
    </xf>
    <xf numFmtId="0" fontId="27" fillId="0" borderId="0" xfId="0" applyFont="1" applyFill="1" applyBorder="1" applyAlignment="1">
      <alignment vertical="center" wrapText="1"/>
    </xf>
    <xf numFmtId="0" fontId="26" fillId="0" borderId="0" xfId="0" applyFont="1" applyFill="1" applyBorder="1" applyAlignment="1">
      <alignment vertical="center" wrapText="1"/>
    </xf>
    <xf numFmtId="0" fontId="27" fillId="0" borderId="0" xfId="0" applyFont="1" applyFill="1" applyBorder="1" applyAlignment="1"/>
    <xf numFmtId="0" fontId="1" fillId="0" borderId="8" xfId="0" applyFont="1" applyBorder="1" applyAlignment="1"/>
    <xf numFmtId="0" fontId="27" fillId="6" borderId="4" xfId="0" applyFont="1" applyFill="1" applyBorder="1" applyAlignment="1">
      <alignment vertical="center" wrapText="1"/>
    </xf>
    <xf numFmtId="0" fontId="1" fillId="6" borderId="9" xfId="0" applyFont="1" applyFill="1" applyBorder="1" applyAlignment="1">
      <alignment horizontal="left" vertical="center" wrapText="1" indent="3"/>
    </xf>
    <xf numFmtId="0" fontId="1" fillId="6" borderId="13" xfId="0" applyFont="1" applyFill="1" applyBorder="1" applyAlignment="1">
      <alignment vertical="center" wrapText="1"/>
    </xf>
    <xf numFmtId="0" fontId="1" fillId="6" borderId="9" xfId="0" applyFont="1" applyFill="1" applyBorder="1" applyAlignment="1">
      <alignment horizontal="center" vertical="center" wrapText="1"/>
    </xf>
    <xf numFmtId="0" fontId="27" fillId="6" borderId="13" xfId="0" applyFont="1" applyFill="1" applyBorder="1" applyAlignment="1">
      <alignment vertical="center" wrapText="1"/>
    </xf>
    <xf numFmtId="0" fontId="27" fillId="6" borderId="12" xfId="0" applyFont="1" applyFill="1" applyBorder="1" applyAlignment="1">
      <alignment horizontal="center"/>
    </xf>
    <xf numFmtId="0" fontId="42" fillId="0" borderId="0" xfId="0" applyFont="1"/>
    <xf numFmtId="0" fontId="43" fillId="11" borderId="31" xfId="8" applyFont="1" applyFill="1" applyBorder="1" applyAlignment="1">
      <alignment horizontal="center" vertical="center" wrapText="1"/>
    </xf>
    <xf numFmtId="0" fontId="43" fillId="11" borderId="35" xfId="8" applyFont="1" applyFill="1" applyBorder="1" applyAlignment="1">
      <alignment horizontal="center" vertical="center" wrapText="1"/>
    </xf>
    <xf numFmtId="0" fontId="43" fillId="11" borderId="32" xfId="8" applyFont="1" applyFill="1" applyBorder="1" applyAlignment="1">
      <alignment horizontal="center" vertical="center" wrapText="1"/>
    </xf>
    <xf numFmtId="0" fontId="1" fillId="8" borderId="2" xfId="0" applyFont="1" applyFill="1" applyBorder="1" applyAlignment="1">
      <alignment wrapText="1"/>
    </xf>
    <xf numFmtId="0" fontId="0" fillId="8" borderId="4" xfId="0" applyFill="1" applyBorder="1" applyAlignment="1">
      <alignment wrapText="1"/>
    </xf>
    <xf numFmtId="0" fontId="16" fillId="8" borderId="10" xfId="3" applyNumberFormat="1" applyFont="1" applyFill="1" applyBorder="1" applyAlignment="1"/>
    <xf numFmtId="0" fontId="0" fillId="8" borderId="12" xfId="0" applyFill="1" applyBorder="1" applyAlignment="1"/>
    <xf numFmtId="0" fontId="27" fillId="6" borderId="12" xfId="0" applyFont="1" applyFill="1" applyBorder="1" applyAlignment="1">
      <alignment horizontal="right" vertical="center"/>
    </xf>
    <xf numFmtId="0" fontId="27" fillId="6" borderId="10" xfId="0" applyFont="1" applyFill="1" applyBorder="1" applyAlignment="1">
      <alignment horizontal="left"/>
    </xf>
    <xf numFmtId="0" fontId="0" fillId="5" borderId="14" xfId="0" applyFont="1" applyFill="1" applyBorder="1" applyAlignment="1">
      <alignment vertical="center"/>
    </xf>
    <xf numFmtId="0" fontId="44" fillId="5" borderId="15" xfId="0" applyFont="1" applyFill="1" applyBorder="1" applyAlignment="1">
      <alignment vertical="center"/>
    </xf>
    <xf numFmtId="0" fontId="1" fillId="6" borderId="2" xfId="0" applyFont="1" applyFill="1" applyBorder="1" applyAlignment="1">
      <alignment horizontal="left"/>
    </xf>
    <xf numFmtId="0" fontId="1" fillId="6" borderId="3" xfId="0" applyFont="1" applyFill="1" applyBorder="1" applyAlignment="1">
      <alignment horizontal="left"/>
    </xf>
    <xf numFmtId="0" fontId="1" fillId="6" borderId="4" xfId="0" applyFont="1" applyFill="1" applyBorder="1" applyAlignment="1">
      <alignment horizontal="left"/>
    </xf>
    <xf numFmtId="0" fontId="1" fillId="8" borderId="2" xfId="0" applyFont="1" applyFill="1" applyBorder="1" applyAlignment="1">
      <alignment horizontal="left"/>
    </xf>
    <xf numFmtId="0" fontId="1" fillId="8" borderId="3" xfId="0" applyFont="1" applyFill="1" applyBorder="1" applyAlignment="1">
      <alignment horizontal="left"/>
    </xf>
    <xf numFmtId="0" fontId="1" fillId="8" borderId="4" xfId="0" applyFont="1" applyFill="1" applyBorder="1" applyAlignment="1">
      <alignment horizontal="left"/>
    </xf>
    <xf numFmtId="0" fontId="15" fillId="6" borderId="10" xfId="0" applyFont="1" applyFill="1" applyBorder="1" applyAlignment="1">
      <alignment horizontal="left"/>
    </xf>
    <xf numFmtId="0" fontId="0" fillId="6" borderId="12" xfId="0" applyFill="1" applyBorder="1" applyAlignment="1">
      <alignment horizontal="left"/>
    </xf>
    <xf numFmtId="0" fontId="0" fillId="6" borderId="12" xfId="0" applyFill="1" applyBorder="1" applyAlignment="1">
      <alignment horizontal="center"/>
    </xf>
    <xf numFmtId="164" fontId="14" fillId="6" borderId="10" xfId="0" applyNumberFormat="1" applyFont="1" applyFill="1" applyBorder="1" applyAlignment="1">
      <alignment horizontal="left"/>
    </xf>
    <xf numFmtId="0" fontId="7" fillId="0" borderId="16" xfId="0" applyFont="1" applyBorder="1" applyAlignment="1">
      <alignment horizontal="left"/>
    </xf>
    <xf numFmtId="0" fontId="7" fillId="0" borderId="17" xfId="0" applyFont="1" applyBorder="1" applyAlignment="1">
      <alignment horizontal="left"/>
    </xf>
    <xf numFmtId="0" fontId="7" fillId="0" borderId="18" xfId="0" applyFont="1" applyBorder="1" applyAlignment="1">
      <alignment horizontal="left"/>
    </xf>
    <xf numFmtId="0" fontId="7" fillId="0" borderId="14" xfId="0" applyFont="1" applyBorder="1" applyAlignment="1">
      <alignment horizontal="left"/>
    </xf>
    <xf numFmtId="0" fontId="7" fillId="0" borderId="5" xfId="0" applyFont="1" applyBorder="1" applyAlignment="1">
      <alignment horizontal="left"/>
    </xf>
    <xf numFmtId="0" fontId="7" fillId="0" borderId="37" xfId="0" applyFont="1" applyBorder="1" applyAlignment="1">
      <alignment horizontal="center" wrapText="1"/>
    </xf>
    <xf numFmtId="165" fontId="2" fillId="0" borderId="0" xfId="1" applyNumberFormat="1" applyFont="1"/>
  </cellXfs>
  <cellStyles count="9">
    <cellStyle name="Accent3" xfId="8" builtinId="37"/>
    <cellStyle name="Comma" xfId="1" builtinId="3"/>
    <cellStyle name="Currency" xfId="2" builtinId="4"/>
    <cellStyle name="Hyperlink" xfId="7" builtinId="8"/>
    <cellStyle name="Normal" xfId="0" builtinId="0"/>
    <cellStyle name="Normal_Dakota" xfId="4" xr:uid="{00000000-0005-0000-0000-000004000000}"/>
    <cellStyle name="Normal_newpas_1" xfId="5" xr:uid="{00000000-0005-0000-0000-000005000000}"/>
    <cellStyle name="Normal_Ramsey" xfId="6" xr:uid="{00000000-0005-0000-0000-000006000000}"/>
    <cellStyle name="Percent" xfId="3" builtinId="5"/>
  </cellStyles>
  <dxfs count="2">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Participation</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'Program Setup'!$AD$36:$AD$46</c:f>
              <c:numCache>
                <c:formatCode>0%</c:formatCode>
                <c:ptCount val="11"/>
                <c:pt idx="0">
                  <c:v>0.84571948189388169</c:v>
                </c:pt>
                <c:pt idx="1">
                  <c:v>0.83846779332026133</c:v>
                </c:pt>
                <c:pt idx="2">
                  <c:v>0.81939188796249329</c:v>
                </c:pt>
                <c:pt idx="3">
                  <c:v>0.77181333173273747</c:v>
                </c:pt>
                <c:pt idx="4">
                  <c:v>0.66738576681282846</c:v>
                </c:pt>
                <c:pt idx="5">
                  <c:v>0.49098469678598833</c:v>
                </c:pt>
                <c:pt idx="6">
                  <c:v>0.29307355681529673</c:v>
                </c:pt>
                <c:pt idx="7">
                  <c:v>0.15139882413310923</c:v>
                </c:pt>
                <c:pt idx="8">
                  <c:v>7.9271138807724253E-2</c:v>
                </c:pt>
                <c:pt idx="9">
                  <c:v>4.8841489760796879E-2</c:v>
                </c:pt>
                <c:pt idx="10">
                  <c:v>0.03</c:v>
                </c:pt>
              </c:numCache>
            </c:numRef>
          </c:xVal>
          <c:yVal>
            <c:numRef>
              <c:f>'Program Setup'!$AE$36:$AE$46</c:f>
              <c:numCache>
                <c:formatCode>_("$"* #,##0_);_("$"* \(#,##0\);_("$"* "-"??_);_(@_)</c:formatCode>
                <c:ptCount val="11"/>
                <c:pt idx="0">
                  <c:v>233413.0187332505</c:v>
                </c:pt>
                <c:pt idx="1">
                  <c:v>210071.71685992545</c:v>
                </c:pt>
                <c:pt idx="2">
                  <c:v>186730.4149866004</c:v>
                </c:pt>
                <c:pt idx="3">
                  <c:v>163389.11311327535</c:v>
                </c:pt>
                <c:pt idx="4">
                  <c:v>140047.8112399503</c:v>
                </c:pt>
                <c:pt idx="5">
                  <c:v>116706.50936662525</c:v>
                </c:pt>
                <c:pt idx="6">
                  <c:v>93365.2074933002</c:v>
                </c:pt>
                <c:pt idx="7">
                  <c:v>70023.90561997515</c:v>
                </c:pt>
                <c:pt idx="8">
                  <c:v>46682.6037466501</c:v>
                </c:pt>
                <c:pt idx="9">
                  <c:v>23341.30187332505</c:v>
                </c:pt>
                <c:pt idx="10">
                  <c:v>0</c:v>
                </c:pt>
              </c:numCache>
            </c:numRef>
          </c:yVal>
          <c:smooth val="1"/>
          <c:extLst>
            <c:ext xmlns:c16="http://schemas.microsoft.com/office/drawing/2014/chart" uri="{C3380CC4-5D6E-409C-BE32-E72D297353CC}">
              <c16:uniqueId val="{00000000-E879-4086-AA68-FC966B518E9F}"/>
            </c:ext>
          </c:extLst>
        </c:ser>
        <c:dLbls>
          <c:showLegendKey val="0"/>
          <c:showVal val="0"/>
          <c:showCatName val="0"/>
          <c:showSerName val="0"/>
          <c:showPercent val="0"/>
          <c:showBubbleSize val="0"/>
        </c:dLbls>
        <c:axId val="595790632"/>
        <c:axId val="595790304"/>
      </c:scatterChart>
      <c:valAx>
        <c:axId val="595790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5790304"/>
        <c:crosses val="autoZero"/>
        <c:crossBetween val="midCat"/>
      </c:valAx>
      <c:valAx>
        <c:axId val="5957903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57906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'Community Graph'!$A$5</c:f>
          <c:strCache>
            <c:ptCount val="1"/>
          </c:strCache>
        </c:strRef>
      </c:tx>
      <c:layout>
        <c:manualLayout>
          <c:xMode val="edge"/>
          <c:yMode val="edge"/>
          <c:x val="0.47118737404060523"/>
          <c:y val="8.888888888888888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'Community Graph'!$C$5</c:f>
              <c:strCache>
                <c:ptCount val="1"/>
                <c:pt idx="0">
                  <c:v>As Is  </c:v>
                </c:pt>
              </c:strCache>
            </c:strRef>
          </c:tx>
          <c:spPr>
            <a:solidFill>
              <a:schemeClr val="accent1"/>
            </a:solidFill>
            <a:ln>
              <a:noFill/>
            </a:ln>
            <a:effectLst/>
          </c:spPr>
          <c:invertIfNegative val="0"/>
          <c:cat>
            <c:numRef>
              <c:f>'Community Graph'!$D$4:$AA$4</c:f>
              <c:numCache>
                <c:formatCode>General</c:formatCode>
                <c:ptCount val="2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numCache>
            </c:numRef>
          </c:cat>
          <c:val>
            <c:numRef>
              <c:f>'Community Graph'!$D$5:$AA$5</c:f>
              <c:numCache>
                <c:formatCode>#,##0</c:formatCode>
                <c:ptCount val="24"/>
                <c:pt idx="0">
                  <c:v>7604412.2603372829</c:v>
                </c:pt>
                <c:pt idx="1">
                  <c:v>7606027.2473737774</c:v>
                </c:pt>
                <c:pt idx="2">
                  <c:v>7606849.4934435096</c:v>
                </c:pt>
                <c:pt idx="3">
                  <c:v>7606894.6918671085</c:v>
                </c:pt>
                <c:pt idx="4">
                  <c:v>7623853.5923860352</c:v>
                </c:pt>
                <c:pt idx="5">
                  <c:v>7639712.6254253974</c:v>
                </c:pt>
                <c:pt idx="6">
                  <c:v>7654492.0924447328</c:v>
                </c:pt>
                <c:pt idx="7">
                  <c:v>7668211.9988611396</c:v>
                </c:pt>
                <c:pt idx="8">
                  <c:v>7680892.0579399746</c:v>
                </c:pt>
                <c:pt idx="9">
                  <c:v>7692551.6946373452</c:v>
                </c:pt>
                <c:pt idx="10">
                  <c:v>7703210.0493949754</c:v>
                </c:pt>
                <c:pt idx="11">
                  <c:v>7712885.9818879887</c:v>
                </c:pt>
                <c:pt idx="12">
                  <c:v>7721598.0747262035</c:v>
                </c:pt>
                <c:pt idx="13">
                  <c:v>7729364.637109464</c:v>
                </c:pt>
                <c:pt idx="14">
                  <c:v>7726187.9087114902</c:v>
                </c:pt>
                <c:pt idx="15">
                  <c:v>7722301.7784177633</c:v>
                </c:pt>
                <c:pt idx="16">
                  <c:v>7717720.7519390415</c:v>
                </c:pt>
                <c:pt idx="17">
                  <c:v>7712459.115812052</c:v>
                </c:pt>
                <c:pt idx="18">
                  <c:v>7706530.9403324081</c:v>
                </c:pt>
                <c:pt idx="19">
                  <c:v>7699950.0824507764</c:v>
                </c:pt>
                <c:pt idx="20">
                  <c:v>7692730.1886327434</c:v>
                </c:pt>
                <c:pt idx="21">
                  <c:v>7684884.6976828258</c:v>
                </c:pt>
                <c:pt idx="22">
                  <c:v>7676426.8435330447</c:v>
                </c:pt>
                <c:pt idx="23">
                  <c:v>7667369.6579964906</c:v>
                </c:pt>
              </c:numCache>
            </c:numRef>
          </c:val>
          <c:extLst>
            <c:ext xmlns:c16="http://schemas.microsoft.com/office/drawing/2014/chart" uri="{C3380CC4-5D6E-409C-BE32-E72D297353CC}">
              <c16:uniqueId val="{00000000-FF60-41EF-AEBF-8D9A32736524}"/>
            </c:ext>
          </c:extLst>
        </c:ser>
        <c:ser>
          <c:idx val="1"/>
          <c:order val="1"/>
          <c:tx>
            <c:strRef>
              <c:f>'Community Graph'!$C$6</c:f>
              <c:strCache>
                <c:ptCount val="1"/>
                <c:pt idx="0">
                  <c:v>Efficiency</c:v>
                </c:pt>
              </c:strCache>
            </c:strRef>
          </c:tx>
          <c:spPr>
            <a:solidFill>
              <a:schemeClr val="accent2"/>
            </a:solidFill>
            <a:ln>
              <a:noFill/>
            </a:ln>
            <a:effectLst/>
          </c:spPr>
          <c:invertIfNegative val="0"/>
          <c:cat>
            <c:numRef>
              <c:f>'Community Graph'!$D$4:$AA$4</c:f>
              <c:numCache>
                <c:formatCode>General</c:formatCode>
                <c:ptCount val="2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numCache>
            </c:numRef>
          </c:cat>
          <c:val>
            <c:numRef>
              <c:f>'Community Graph'!$D$6:$AA$6</c:f>
              <c:numCache>
                <c:formatCode>#,##0</c:formatCode>
                <c:ptCount val="24"/>
                <c:pt idx="0">
                  <c:v>7604412.2603372829</c:v>
                </c:pt>
                <c:pt idx="1">
                  <c:v>7541391.8538828883</c:v>
                </c:pt>
                <c:pt idx="2">
                  <c:v>7477564.7317028884</c:v>
                </c:pt>
                <c:pt idx="3">
                  <c:v>7412966.3969787257</c:v>
                </c:pt>
                <c:pt idx="4">
                  <c:v>7364706.0711720148</c:v>
                </c:pt>
                <c:pt idx="5">
                  <c:v>7315104.3801208688</c:v>
                </c:pt>
                <c:pt idx="6">
                  <c:v>7329255.8736690925</c:v>
                </c:pt>
                <c:pt idx="7">
                  <c:v>7342392.8269083407</c:v>
                </c:pt>
                <c:pt idx="8">
                  <c:v>7354534.1154954368</c:v>
                </c:pt>
                <c:pt idx="9">
                  <c:v>7365698.3390280996</c:v>
                </c:pt>
                <c:pt idx="10">
                  <c:v>7375903.8246785607</c:v>
                </c:pt>
                <c:pt idx="11">
                  <c:v>7385168.6307821088</c:v>
                </c:pt>
                <c:pt idx="12">
                  <c:v>7393510.5503811194</c:v>
                </c:pt>
                <c:pt idx="13">
                  <c:v>7400947.1147250701</c:v>
                </c:pt>
                <c:pt idx="14">
                  <c:v>7397905.3642093325</c:v>
                </c:pt>
                <c:pt idx="15">
                  <c:v>7394184.353992437</c:v>
                </c:pt>
                <c:pt idx="16">
                  <c:v>7389797.9734434579</c:v>
                </c:pt>
                <c:pt idx="17">
                  <c:v>7384759.9020700604</c:v>
                </c:pt>
                <c:pt idx="18">
                  <c:v>7379083.6123267859</c:v>
                </c:pt>
                <c:pt idx="19">
                  <c:v>7372782.3723881701</c:v>
                </c:pt>
                <c:pt idx="20">
                  <c:v>7365869.2488870937</c:v>
                </c:pt>
                <c:pt idx="21">
                  <c:v>7358357.1096187998</c:v>
                </c:pt>
                <c:pt idx="22">
                  <c:v>7350258.6262109829</c:v>
                </c:pt>
                <c:pt idx="23">
                  <c:v>7341586.2767603612</c:v>
                </c:pt>
              </c:numCache>
            </c:numRef>
          </c:val>
          <c:extLst>
            <c:ext xmlns:c16="http://schemas.microsoft.com/office/drawing/2014/chart" uri="{C3380CC4-5D6E-409C-BE32-E72D297353CC}">
              <c16:uniqueId val="{00000001-FF60-41EF-AEBF-8D9A32736524}"/>
            </c:ext>
          </c:extLst>
        </c:ser>
        <c:dLbls>
          <c:showLegendKey val="0"/>
          <c:showVal val="0"/>
          <c:showCatName val="0"/>
          <c:showSerName val="0"/>
          <c:showPercent val="0"/>
          <c:showBubbleSize val="0"/>
        </c:dLbls>
        <c:gapWidth val="150"/>
        <c:axId val="525009520"/>
        <c:axId val="525009192"/>
      </c:barChart>
      <c:lineChart>
        <c:grouping val="standard"/>
        <c:varyColors val="0"/>
        <c:ser>
          <c:idx val="2"/>
          <c:order val="2"/>
          <c:tx>
            <c:strRef>
              <c:f>'Community Graph'!$C$10</c:f>
              <c:strCache>
                <c:ptCount val="1"/>
                <c:pt idx="0">
                  <c:v>As Is Firm Capy</c:v>
                </c:pt>
              </c:strCache>
            </c:strRef>
          </c:tx>
          <c:spPr>
            <a:ln w="28575" cap="rnd">
              <a:solidFill>
                <a:schemeClr val="accent1"/>
              </a:solidFill>
              <a:round/>
            </a:ln>
            <a:effectLst/>
          </c:spPr>
          <c:marker>
            <c:symbol val="none"/>
          </c:marker>
          <c:val>
            <c:numRef>
              <c:f>'Community Graph'!$D$10:$AA$10</c:f>
              <c:numCache>
                <c:formatCode>#,##0</c:formatCode>
                <c:ptCount val="24"/>
                <c:pt idx="0">
                  <c:v>6843971.0343035553</c:v>
                </c:pt>
                <c:pt idx="1">
                  <c:v>8212765.2411642671</c:v>
                </c:pt>
                <c:pt idx="2">
                  <c:v>8212765.2411642671</c:v>
                </c:pt>
                <c:pt idx="3">
                  <c:v>8212765.2411642671</c:v>
                </c:pt>
                <c:pt idx="4">
                  <c:v>8212765.2411642671</c:v>
                </c:pt>
                <c:pt idx="5">
                  <c:v>8212765.2411642671</c:v>
                </c:pt>
                <c:pt idx="6">
                  <c:v>8212765.2411642671</c:v>
                </c:pt>
                <c:pt idx="7">
                  <c:v>8212765.2411642671</c:v>
                </c:pt>
                <c:pt idx="8">
                  <c:v>8212765.2411642671</c:v>
                </c:pt>
                <c:pt idx="9">
                  <c:v>8212765.2411642671</c:v>
                </c:pt>
                <c:pt idx="10">
                  <c:v>8212765.2411642671</c:v>
                </c:pt>
                <c:pt idx="11">
                  <c:v>8212765.2411642671</c:v>
                </c:pt>
                <c:pt idx="12">
                  <c:v>8212765.2411642671</c:v>
                </c:pt>
                <c:pt idx="13">
                  <c:v>8212765.2411642671</c:v>
                </c:pt>
                <c:pt idx="14">
                  <c:v>8212765.2411642671</c:v>
                </c:pt>
                <c:pt idx="15">
                  <c:v>8212765.2411642671</c:v>
                </c:pt>
                <c:pt idx="16">
                  <c:v>8212765.2411642671</c:v>
                </c:pt>
                <c:pt idx="17">
                  <c:v>8212765.2411642671</c:v>
                </c:pt>
                <c:pt idx="18">
                  <c:v>8212765.2411642671</c:v>
                </c:pt>
                <c:pt idx="19">
                  <c:v>8212765.2411642671</c:v>
                </c:pt>
                <c:pt idx="20">
                  <c:v>8212765.2411642671</c:v>
                </c:pt>
                <c:pt idx="21">
                  <c:v>8212765.2411642671</c:v>
                </c:pt>
                <c:pt idx="22">
                  <c:v>8212765.2411642671</c:v>
                </c:pt>
                <c:pt idx="23">
                  <c:v>8212765.2411642671</c:v>
                </c:pt>
              </c:numCache>
            </c:numRef>
          </c:val>
          <c:smooth val="0"/>
          <c:extLst>
            <c:ext xmlns:c16="http://schemas.microsoft.com/office/drawing/2014/chart" uri="{C3380CC4-5D6E-409C-BE32-E72D297353CC}">
              <c16:uniqueId val="{00000000-FE68-4A03-97CD-343C1F914476}"/>
            </c:ext>
          </c:extLst>
        </c:ser>
        <c:ser>
          <c:idx val="3"/>
          <c:order val="3"/>
          <c:tx>
            <c:strRef>
              <c:f>'Community Graph'!$C$11</c:f>
              <c:strCache>
                <c:ptCount val="1"/>
                <c:pt idx="0">
                  <c:v>Efficiency Firm Capy</c:v>
                </c:pt>
              </c:strCache>
            </c:strRef>
          </c:tx>
          <c:spPr>
            <a:ln w="28575" cap="rnd">
              <a:solidFill>
                <a:schemeClr val="accent2"/>
              </a:solidFill>
              <a:round/>
            </a:ln>
            <a:effectLst/>
          </c:spPr>
          <c:marker>
            <c:symbol val="none"/>
          </c:marker>
          <c:val>
            <c:numRef>
              <c:f>'Community Graph'!$D$11:$AA$11</c:f>
              <c:numCache>
                <c:formatCode>#,##0</c:formatCode>
                <c:ptCount val="24"/>
                <c:pt idx="0">
                  <c:v>6843971.0343035553</c:v>
                </c:pt>
                <c:pt idx="1">
                  <c:v>8212765.2411642671</c:v>
                </c:pt>
                <c:pt idx="2">
                  <c:v>8212765.2411642671</c:v>
                </c:pt>
                <c:pt idx="3">
                  <c:v>8212765.2411642671</c:v>
                </c:pt>
                <c:pt idx="4">
                  <c:v>8212765.2411642671</c:v>
                </c:pt>
                <c:pt idx="5">
                  <c:v>8212765.2411642671</c:v>
                </c:pt>
                <c:pt idx="6">
                  <c:v>8212765.2411642671</c:v>
                </c:pt>
                <c:pt idx="7">
                  <c:v>8212765.2411642671</c:v>
                </c:pt>
                <c:pt idx="8">
                  <c:v>8212765.2411642671</c:v>
                </c:pt>
                <c:pt idx="9">
                  <c:v>8212765.2411642671</c:v>
                </c:pt>
                <c:pt idx="10">
                  <c:v>8212765.2411642671</c:v>
                </c:pt>
                <c:pt idx="11">
                  <c:v>8212765.2411642671</c:v>
                </c:pt>
                <c:pt idx="12">
                  <c:v>8212765.2411642671</c:v>
                </c:pt>
                <c:pt idx="13">
                  <c:v>8212765.2411642671</c:v>
                </c:pt>
                <c:pt idx="14">
                  <c:v>8212765.2411642671</c:v>
                </c:pt>
                <c:pt idx="15">
                  <c:v>8212765.2411642671</c:v>
                </c:pt>
                <c:pt idx="16">
                  <c:v>8212765.2411642671</c:v>
                </c:pt>
                <c:pt idx="17">
                  <c:v>8212765.2411642671</c:v>
                </c:pt>
                <c:pt idx="18">
                  <c:v>8212765.2411642671</c:v>
                </c:pt>
                <c:pt idx="19">
                  <c:v>8212765.2411642671</c:v>
                </c:pt>
                <c:pt idx="20">
                  <c:v>8212765.2411642671</c:v>
                </c:pt>
                <c:pt idx="21">
                  <c:v>8212765.2411642671</c:v>
                </c:pt>
                <c:pt idx="22">
                  <c:v>8212765.2411642671</c:v>
                </c:pt>
                <c:pt idx="23">
                  <c:v>8212765.2411642671</c:v>
                </c:pt>
              </c:numCache>
            </c:numRef>
          </c:val>
          <c:smooth val="0"/>
          <c:extLst>
            <c:ext xmlns:c16="http://schemas.microsoft.com/office/drawing/2014/chart" uri="{C3380CC4-5D6E-409C-BE32-E72D297353CC}">
              <c16:uniqueId val="{00000001-FE68-4A03-97CD-343C1F914476}"/>
            </c:ext>
          </c:extLst>
        </c:ser>
        <c:dLbls>
          <c:showLegendKey val="0"/>
          <c:showVal val="0"/>
          <c:showCatName val="0"/>
          <c:showSerName val="0"/>
          <c:showPercent val="0"/>
          <c:showBubbleSize val="0"/>
        </c:dLbls>
        <c:marker val="1"/>
        <c:smooth val="0"/>
        <c:axId val="734635680"/>
        <c:axId val="734641256"/>
      </c:lineChart>
      <c:valAx>
        <c:axId val="525009192"/>
        <c:scaling>
          <c:orientation val="minMax"/>
        </c:scaling>
        <c:delete val="1"/>
        <c:axPos val="r"/>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525009520"/>
        <c:crosses val="max"/>
        <c:crossBetween val="between"/>
      </c:valAx>
      <c:catAx>
        <c:axId val="525009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009192"/>
        <c:crosses val="autoZero"/>
        <c:auto val="1"/>
        <c:lblAlgn val="ctr"/>
        <c:lblOffset val="100"/>
        <c:noMultiLvlLbl val="0"/>
      </c:catAx>
      <c:valAx>
        <c:axId val="734641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Peak Gallons per 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635680"/>
        <c:crosses val="autoZero"/>
        <c:crossBetween val="between"/>
      </c:valAx>
      <c:catAx>
        <c:axId val="734635680"/>
        <c:scaling>
          <c:orientation val="minMax"/>
        </c:scaling>
        <c:delete val="1"/>
        <c:axPos val="b"/>
        <c:majorTickMark val="out"/>
        <c:minorTickMark val="none"/>
        <c:tickLblPos val="nextTo"/>
        <c:crossAx val="7346412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&amp;L&amp;Z&amp;F</c:oddFooter>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AA35" noThreeD="1"/>
</file>

<file path=xl/ctrlProps/ctrlProp2.xml><?xml version="1.0" encoding="utf-8"?>
<formControlPr xmlns="http://schemas.microsoft.com/office/spreadsheetml/2009/9/main" objectType="CheckBox" fmlaLink="AA37" noThreeD="1"/>
</file>

<file path=xl/ctrlProps/ctrlProp3.xml><?xml version="1.0" encoding="utf-8"?>
<formControlPr xmlns="http://schemas.microsoft.com/office/spreadsheetml/2009/9/main" objectType="CheckBox" fmlaLink="AA39" noThreeD="1"/>
</file>

<file path=xl/ctrlProps/ctrlProp4.xml><?xml version="1.0" encoding="utf-8"?>
<formControlPr xmlns="http://schemas.microsoft.com/office/spreadsheetml/2009/9/main" objectType="CheckBox" fmlaLink="AA41" noThreeD="1"/>
</file>

<file path=xl/ctrlProps/ctrlProp5.xml><?xml version="1.0" encoding="utf-8"?>
<formControlPr xmlns="http://schemas.microsoft.com/office/spreadsheetml/2009/9/main" objectType="CheckBox" checked="Checked" fmlaLink="AA33"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33</xdr:row>
          <xdr:rowOff>209550</xdr:rowOff>
        </xdr:from>
        <xdr:to>
          <xdr:col>4</xdr:col>
          <xdr:colOff>504825</xdr:colOff>
          <xdr:row>35</xdr:row>
          <xdr:rowOff>9525</xdr:rowOff>
        </xdr:to>
        <xdr:sp macro="" textlink="">
          <xdr:nvSpPr>
            <xdr:cNvPr id="1026" name="Check Box 2" descr="XXX"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35</xdr:row>
          <xdr:rowOff>171450</xdr:rowOff>
        </xdr:from>
        <xdr:to>
          <xdr:col>4</xdr:col>
          <xdr:colOff>504825</xdr:colOff>
          <xdr:row>37</xdr:row>
          <xdr:rowOff>19050</xdr:rowOff>
        </xdr:to>
        <xdr:sp macro="" textlink="">
          <xdr:nvSpPr>
            <xdr:cNvPr id="1030" name="Check Box 6" descr="XXX"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37</xdr:row>
          <xdr:rowOff>171450</xdr:rowOff>
        </xdr:from>
        <xdr:to>
          <xdr:col>4</xdr:col>
          <xdr:colOff>504825</xdr:colOff>
          <xdr:row>39</xdr:row>
          <xdr:rowOff>28575</xdr:rowOff>
        </xdr:to>
        <xdr:sp macro="" textlink="">
          <xdr:nvSpPr>
            <xdr:cNvPr id="1032" name="Check Box 8" descr="XXX"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xdr:row>
          <xdr:rowOff>171450</xdr:rowOff>
        </xdr:from>
        <xdr:to>
          <xdr:col>4</xdr:col>
          <xdr:colOff>523875</xdr:colOff>
          <xdr:row>41</xdr:row>
          <xdr:rowOff>28575</xdr:rowOff>
        </xdr:to>
        <xdr:sp macro="" textlink="">
          <xdr:nvSpPr>
            <xdr:cNvPr id="1033" name="Check Box 9" descr="XXX"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500743</xdr:colOff>
      <xdr:row>30</xdr:row>
      <xdr:rowOff>0</xdr:rowOff>
    </xdr:from>
    <xdr:to>
      <xdr:col>20</xdr:col>
      <xdr:colOff>195943</xdr:colOff>
      <xdr:row>46</xdr:row>
      <xdr:rowOff>10885</xdr:rowOff>
    </xdr:to>
    <xdr:graphicFrame macro="">
      <xdr:nvGraphicFramePr>
        <xdr:cNvPr id="3" name="Chart 2" descr="This graph shows the percent of community residents participating in the irrigation efficiency program as a function of the amount of money spent in the program.">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190500</xdr:colOff>
          <xdr:row>31</xdr:row>
          <xdr:rowOff>161925</xdr:rowOff>
        </xdr:from>
        <xdr:to>
          <xdr:col>5</xdr:col>
          <xdr:colOff>295275</xdr:colOff>
          <xdr:row>33</xdr:row>
          <xdr:rowOff>76200</xdr:rowOff>
        </xdr:to>
        <xdr:sp macro="" textlink="">
          <xdr:nvSpPr>
            <xdr:cNvPr id="1105" name="Check Box 81" descr="XXX"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Marketing &amp; Educational Material</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22860</xdr:colOff>
      <xdr:row>12</xdr:row>
      <xdr:rowOff>148590</xdr:rowOff>
    </xdr:from>
    <xdr:to>
      <xdr:col>11</xdr:col>
      <xdr:colOff>619125</xdr:colOff>
      <xdr:row>27</xdr:row>
      <xdr:rowOff>148590</xdr:rowOff>
    </xdr:to>
    <xdr:graphicFrame macro="">
      <xdr:nvGraphicFramePr>
        <xdr:cNvPr id="3" name="Chart 2" title="=B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0.3938</cdr:x>
      <cdr:y>0.07111</cdr:y>
    </cdr:from>
    <cdr:to>
      <cdr:x>0.60265</cdr:x>
      <cdr:y>0.20111</cdr:y>
    </cdr:to>
    <cdr:sp macro="" textlink="">
      <cdr:nvSpPr>
        <cdr:cNvPr id="2" name="TextBox 1">
          <a:extLst xmlns:a="http://schemas.openxmlformats.org/drawingml/2006/main">
            <a:ext uri="{FF2B5EF4-FFF2-40B4-BE49-F238E27FC236}">
              <a16:creationId xmlns:a16="http://schemas.microsoft.com/office/drawing/2014/main" id="{5FBC88DE-3D75-4B75-9C31-E7A368FE2589}"/>
            </a:ext>
          </a:extLst>
        </cdr:cNvPr>
        <cdr:cNvSpPr txBox="1"/>
      </cdr:nvSpPr>
      <cdr:spPr>
        <a:xfrm xmlns:a="http://schemas.openxmlformats.org/drawingml/2006/main">
          <a:off x="3089275" y="203200"/>
          <a:ext cx="1638350" cy="3714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595959"/>
              </a:solidFill>
            </a:rPr>
            <a:t>Peak Gallons</a:t>
          </a:r>
          <a:r>
            <a:rPr lang="en-US" sz="1400" baseline="0">
              <a:solidFill>
                <a:srgbClr val="595959"/>
              </a:solidFill>
            </a:rPr>
            <a:t> per Day</a:t>
          </a:r>
          <a:endParaRPr lang="en-US" sz="1400">
            <a:solidFill>
              <a:srgbClr val="595959"/>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Q61"/>
  <sheetViews>
    <sheetView tabSelected="1" workbookViewId="0">
      <selection activeCell="H13" sqref="H13"/>
    </sheetView>
  </sheetViews>
  <sheetFormatPr defaultColWidth="8.85546875" defaultRowHeight="15" x14ac:dyDescent="0.25"/>
  <cols>
    <col min="1" max="1" width="3.42578125" style="325" customWidth="1"/>
    <col min="2" max="2" width="25.28515625" style="325" customWidth="1"/>
    <col min="3" max="3" width="0.7109375" style="325" customWidth="1"/>
    <col min="4" max="4" width="97.42578125" style="325" customWidth="1"/>
    <col min="5" max="5" width="22.85546875" style="325" customWidth="1"/>
    <col min="6" max="6" width="14.5703125" style="331" customWidth="1"/>
    <col min="7" max="7" width="12.42578125" style="331" customWidth="1"/>
    <col min="8" max="16384" width="8.85546875" style="331"/>
  </cols>
  <sheetData>
    <row r="2" spans="1:17" ht="21" x14ac:dyDescent="0.35">
      <c r="B2" s="323" t="s">
        <v>265</v>
      </c>
      <c r="C2" s="324"/>
      <c r="D2" s="516" t="s">
        <v>319</v>
      </c>
      <c r="E2" s="516"/>
      <c r="F2" s="530"/>
      <c r="G2" s="530"/>
    </row>
    <row r="3" spans="1:17" x14ac:dyDescent="0.25">
      <c r="B3" s="323" t="s">
        <v>266</v>
      </c>
      <c r="D3" s="326"/>
    </row>
    <row r="5" spans="1:17" x14ac:dyDescent="0.25">
      <c r="B5" s="324" t="s">
        <v>352</v>
      </c>
      <c r="D5" s="327"/>
    </row>
    <row r="6" spans="1:17" x14ac:dyDescent="0.25">
      <c r="B6" s="328" t="s">
        <v>353</v>
      </c>
      <c r="D6" s="384" t="s">
        <v>469</v>
      </c>
      <c r="E6" s="329"/>
    </row>
    <row r="7" spans="1:17" x14ac:dyDescent="0.25">
      <c r="B7" s="328"/>
      <c r="D7" s="384" t="s">
        <v>470</v>
      </c>
      <c r="E7" s="329"/>
    </row>
    <row r="8" spans="1:17" x14ac:dyDescent="0.25">
      <c r="B8" s="328"/>
      <c r="D8" s="329" t="s">
        <v>398</v>
      </c>
      <c r="E8" s="329"/>
    </row>
    <row r="9" spans="1:17" x14ac:dyDescent="0.25">
      <c r="B9" s="328"/>
      <c r="D9" s="384" t="s">
        <v>471</v>
      </c>
      <c r="E9" s="329"/>
    </row>
    <row r="10" spans="1:17" x14ac:dyDescent="0.25">
      <c r="B10" s="328"/>
      <c r="D10" s="384" t="s">
        <v>460</v>
      </c>
      <c r="E10" s="329"/>
    </row>
    <row r="11" spans="1:17" x14ac:dyDescent="0.25">
      <c r="B11" s="328"/>
      <c r="D11" s="384" t="s">
        <v>461</v>
      </c>
      <c r="E11" s="329"/>
    </row>
    <row r="12" spans="1:17" x14ac:dyDescent="0.25">
      <c r="A12" s="331"/>
      <c r="B12" s="330"/>
      <c r="C12" s="331"/>
      <c r="D12" s="331"/>
      <c r="E12" s="331"/>
    </row>
    <row r="13" spans="1:17" ht="30" x14ac:dyDescent="0.25">
      <c r="B13" s="328" t="s">
        <v>354</v>
      </c>
      <c r="D13" s="332" t="s">
        <v>401</v>
      </c>
      <c r="E13" s="329"/>
    </row>
    <row r="14" spans="1:17" ht="14.45" customHeight="1" x14ac:dyDescent="0.25">
      <c r="B14" s="328"/>
      <c r="D14" s="329"/>
      <c r="E14" s="332"/>
      <c r="F14" s="531"/>
      <c r="G14" s="531"/>
      <c r="H14" s="531"/>
      <c r="I14" s="531"/>
      <c r="J14" s="531"/>
      <c r="K14" s="531"/>
      <c r="L14" s="531"/>
      <c r="M14" s="531"/>
      <c r="N14" s="531"/>
      <c r="O14" s="531"/>
      <c r="P14" s="531"/>
      <c r="Q14" s="531"/>
    </row>
    <row r="15" spans="1:17" x14ac:dyDescent="0.25">
      <c r="B15" s="328"/>
      <c r="D15" s="384" t="s">
        <v>472</v>
      </c>
      <c r="E15" s="332"/>
      <c r="F15" s="531"/>
      <c r="G15" s="531"/>
      <c r="H15" s="531"/>
      <c r="I15" s="531"/>
      <c r="J15" s="531"/>
      <c r="K15" s="531"/>
      <c r="L15" s="531"/>
      <c r="M15" s="531"/>
      <c r="N15" s="531"/>
      <c r="O15" s="531"/>
      <c r="P15" s="531"/>
      <c r="Q15" s="531"/>
    </row>
    <row r="16" spans="1:17" x14ac:dyDescent="0.25">
      <c r="B16" s="323"/>
      <c r="D16" s="329" t="s">
        <v>402</v>
      </c>
      <c r="E16" s="332"/>
      <c r="F16" s="531"/>
      <c r="G16" s="531"/>
      <c r="H16" s="531"/>
      <c r="I16" s="531"/>
      <c r="J16" s="531"/>
      <c r="K16" s="531"/>
      <c r="L16" s="531"/>
      <c r="M16" s="531"/>
      <c r="N16" s="531"/>
      <c r="O16" s="531"/>
      <c r="P16" s="531"/>
      <c r="Q16" s="531"/>
    </row>
    <row r="17" spans="1:17" x14ac:dyDescent="0.25">
      <c r="B17" s="323"/>
      <c r="D17" s="329" t="s">
        <v>403</v>
      </c>
      <c r="E17" s="333"/>
      <c r="F17" s="532"/>
      <c r="G17" s="532"/>
      <c r="H17" s="532"/>
      <c r="I17" s="532"/>
      <c r="J17" s="532"/>
      <c r="K17" s="532"/>
      <c r="L17" s="532"/>
      <c r="M17" s="532"/>
      <c r="N17" s="532"/>
      <c r="O17" s="532"/>
      <c r="P17" s="532"/>
      <c r="Q17" s="532"/>
    </row>
    <row r="18" spans="1:17" ht="30" x14ac:dyDescent="0.25">
      <c r="B18" s="323"/>
      <c r="D18" s="332" t="s">
        <v>404</v>
      </c>
      <c r="E18" s="333"/>
      <c r="F18" s="532"/>
      <c r="G18" s="532"/>
      <c r="H18" s="532"/>
      <c r="I18" s="532"/>
      <c r="J18" s="532"/>
      <c r="K18" s="532"/>
      <c r="L18" s="532"/>
      <c r="M18" s="532"/>
      <c r="N18" s="532"/>
      <c r="O18" s="532"/>
      <c r="P18" s="532"/>
      <c r="Q18" s="532"/>
    </row>
    <row r="19" spans="1:17" x14ac:dyDescent="0.25">
      <c r="B19" s="323"/>
      <c r="D19" s="329"/>
      <c r="E19" s="333"/>
      <c r="F19" s="532"/>
      <c r="G19" s="532"/>
      <c r="H19" s="532"/>
      <c r="I19" s="532"/>
      <c r="J19" s="532"/>
      <c r="K19" s="532"/>
      <c r="L19" s="532"/>
      <c r="M19" s="532"/>
      <c r="N19" s="532"/>
      <c r="O19" s="532"/>
      <c r="P19" s="532"/>
      <c r="Q19" s="532"/>
    </row>
    <row r="20" spans="1:17" x14ac:dyDescent="0.25">
      <c r="B20" s="323"/>
      <c r="D20" s="384" t="s">
        <v>473</v>
      </c>
      <c r="E20" s="333"/>
      <c r="F20" s="532"/>
      <c r="G20" s="532"/>
      <c r="H20" s="532"/>
      <c r="I20" s="532"/>
      <c r="J20" s="532"/>
      <c r="K20" s="532"/>
      <c r="L20" s="532"/>
      <c r="M20" s="532"/>
      <c r="N20" s="532"/>
      <c r="O20" s="532"/>
      <c r="P20" s="532"/>
      <c r="Q20" s="532"/>
    </row>
    <row r="21" spans="1:17" x14ac:dyDescent="0.25">
      <c r="B21" s="323"/>
      <c r="D21" s="329" t="s">
        <v>405</v>
      </c>
      <c r="E21" s="333"/>
      <c r="F21" s="532"/>
      <c r="G21" s="532"/>
      <c r="H21" s="532"/>
      <c r="I21" s="532"/>
      <c r="J21" s="532"/>
      <c r="K21" s="532"/>
      <c r="L21" s="532"/>
      <c r="M21" s="532"/>
      <c r="N21" s="532"/>
      <c r="O21" s="532"/>
      <c r="P21" s="532"/>
      <c r="Q21" s="532"/>
    </row>
    <row r="22" spans="1:17" x14ac:dyDescent="0.25">
      <c r="B22" s="323"/>
      <c r="D22" s="333"/>
      <c r="E22" s="333"/>
      <c r="F22" s="532"/>
      <c r="G22" s="532"/>
      <c r="H22" s="532"/>
      <c r="I22" s="532"/>
      <c r="J22" s="532"/>
      <c r="K22" s="532"/>
      <c r="L22" s="532"/>
      <c r="M22" s="532"/>
      <c r="N22" s="532"/>
      <c r="O22" s="532"/>
      <c r="P22" s="532"/>
      <c r="Q22" s="532"/>
    </row>
    <row r="23" spans="1:17" x14ac:dyDescent="0.25">
      <c r="B23" s="323"/>
      <c r="D23" s="329"/>
      <c r="E23" s="329"/>
    </row>
    <row r="24" spans="1:17" x14ac:dyDescent="0.25">
      <c r="A24" s="331"/>
      <c r="B24" s="334"/>
      <c r="C24" s="331"/>
      <c r="D24" s="331"/>
      <c r="E24" s="331"/>
    </row>
    <row r="25" spans="1:17" ht="14.45" customHeight="1" x14ac:dyDescent="0.25">
      <c r="B25" s="328" t="s">
        <v>406</v>
      </c>
      <c r="D25" s="384" t="s">
        <v>474</v>
      </c>
      <c r="E25" s="335"/>
      <c r="F25" s="533"/>
      <c r="G25" s="533"/>
      <c r="H25" s="533"/>
      <c r="I25" s="533"/>
      <c r="J25" s="533"/>
      <c r="K25" s="533"/>
      <c r="L25" s="533"/>
      <c r="M25" s="533"/>
      <c r="N25" s="533"/>
      <c r="O25" s="533"/>
      <c r="P25" s="533"/>
      <c r="Q25" s="533"/>
    </row>
    <row r="26" spans="1:17" x14ac:dyDescent="0.25">
      <c r="B26" s="323"/>
      <c r="D26" s="329" t="s">
        <v>407</v>
      </c>
      <c r="E26" s="335"/>
      <c r="F26" s="533"/>
      <c r="G26" s="533"/>
      <c r="H26" s="533"/>
      <c r="I26" s="533"/>
      <c r="J26" s="533"/>
      <c r="K26" s="533"/>
      <c r="L26" s="533"/>
      <c r="M26" s="533"/>
      <c r="N26" s="533"/>
      <c r="O26" s="533"/>
      <c r="P26" s="533"/>
      <c r="Q26" s="533"/>
    </row>
    <row r="27" spans="1:17" x14ac:dyDescent="0.25">
      <c r="B27" s="323"/>
      <c r="D27" s="384" t="s">
        <v>476</v>
      </c>
      <c r="E27" s="336"/>
      <c r="F27" s="534"/>
      <c r="G27" s="534"/>
      <c r="H27" s="534"/>
      <c r="I27" s="534"/>
      <c r="J27" s="534"/>
      <c r="K27" s="534"/>
      <c r="L27" s="534"/>
      <c r="M27" s="534"/>
      <c r="N27" s="534"/>
      <c r="O27" s="534"/>
      <c r="P27" s="534"/>
      <c r="Q27" s="534"/>
    </row>
    <row r="28" spans="1:17" x14ac:dyDescent="0.25">
      <c r="B28" s="323"/>
      <c r="D28" s="329" t="s">
        <v>408</v>
      </c>
      <c r="E28" s="336"/>
      <c r="F28" s="534"/>
      <c r="G28" s="534"/>
      <c r="H28" s="534"/>
      <c r="I28" s="534"/>
      <c r="J28" s="534"/>
      <c r="K28" s="534"/>
      <c r="L28" s="534"/>
      <c r="M28" s="534"/>
      <c r="N28" s="534"/>
      <c r="O28" s="534"/>
      <c r="P28" s="534"/>
      <c r="Q28" s="534"/>
    </row>
    <row r="29" spans="1:17" x14ac:dyDescent="0.25">
      <c r="B29" s="323"/>
      <c r="D29" s="384" t="s">
        <v>475</v>
      </c>
      <c r="E29" s="336"/>
      <c r="F29" s="534"/>
      <c r="G29" s="534"/>
      <c r="H29" s="534"/>
      <c r="I29" s="534"/>
      <c r="J29" s="534"/>
      <c r="K29" s="534"/>
      <c r="L29" s="534"/>
      <c r="M29" s="534"/>
      <c r="N29" s="534"/>
      <c r="O29" s="534"/>
      <c r="P29" s="534"/>
      <c r="Q29" s="534"/>
    </row>
    <row r="30" spans="1:17" x14ac:dyDescent="0.25">
      <c r="B30" s="323"/>
      <c r="D30" s="384" t="s">
        <v>477</v>
      </c>
      <c r="E30" s="336"/>
      <c r="F30" s="534"/>
      <c r="G30" s="534"/>
      <c r="H30" s="534"/>
      <c r="I30" s="534"/>
      <c r="J30" s="534"/>
      <c r="K30" s="534"/>
      <c r="L30" s="534"/>
      <c r="M30" s="534"/>
      <c r="N30" s="534"/>
      <c r="O30" s="534"/>
      <c r="P30" s="534"/>
      <c r="Q30" s="534"/>
    </row>
    <row r="31" spans="1:17" x14ac:dyDescent="0.25">
      <c r="B31" s="323"/>
      <c r="D31" s="337"/>
      <c r="E31" s="337"/>
      <c r="F31" s="533"/>
      <c r="G31" s="533"/>
      <c r="H31" s="533"/>
      <c r="I31" s="533"/>
      <c r="J31" s="533"/>
      <c r="K31" s="533"/>
      <c r="L31" s="533"/>
      <c r="M31" s="533"/>
      <c r="N31" s="533"/>
      <c r="O31" s="533"/>
      <c r="P31" s="533"/>
      <c r="Q31" s="533"/>
    </row>
    <row r="32" spans="1:17" x14ac:dyDescent="0.25">
      <c r="B32" s="328" t="s">
        <v>377</v>
      </c>
      <c r="D32" s="329" t="s">
        <v>355</v>
      </c>
      <c r="E32" s="329"/>
    </row>
    <row r="34" spans="1:7" x14ac:dyDescent="0.25">
      <c r="B34" s="338" t="s">
        <v>414</v>
      </c>
      <c r="C34" s="339"/>
      <c r="D34" s="340"/>
      <c r="E34" s="529"/>
    </row>
    <row r="36" spans="1:7" x14ac:dyDescent="0.25">
      <c r="D36" s="327"/>
    </row>
    <row r="37" spans="1:7" x14ac:dyDescent="0.25">
      <c r="B37" s="341" t="s">
        <v>21</v>
      </c>
      <c r="C37" s="342"/>
      <c r="D37" s="517" t="s">
        <v>264</v>
      </c>
      <c r="E37" s="523"/>
      <c r="F37" s="524"/>
      <c r="G37" s="524"/>
    </row>
    <row r="38" spans="1:7" ht="4.5" customHeight="1" thickBot="1" x14ac:dyDescent="0.3">
      <c r="A38" s="331"/>
      <c r="B38" s="342"/>
      <c r="C38" s="342"/>
      <c r="D38" s="537"/>
      <c r="E38" s="523"/>
      <c r="F38" s="524"/>
      <c r="G38" s="524"/>
    </row>
    <row r="39" spans="1:7" ht="30.75" thickBot="1" x14ac:dyDescent="0.3">
      <c r="B39" s="564" t="s">
        <v>26</v>
      </c>
      <c r="C39" s="343"/>
      <c r="D39" s="518" t="s">
        <v>409</v>
      </c>
      <c r="E39" s="525"/>
      <c r="F39" s="526"/>
      <c r="G39" s="526"/>
    </row>
    <row r="40" spans="1:7" ht="4.5" customHeight="1" x14ac:dyDescent="0.25">
      <c r="A40" s="331"/>
      <c r="B40" s="344"/>
      <c r="C40" s="343"/>
      <c r="D40" s="536"/>
      <c r="E40" s="525"/>
      <c r="F40" s="526"/>
      <c r="G40" s="526"/>
    </row>
    <row r="41" spans="1:7" ht="60.75" thickBot="1" x14ac:dyDescent="0.3">
      <c r="B41" s="566" t="s">
        <v>410</v>
      </c>
      <c r="C41" s="343"/>
      <c r="D41" s="519" t="s">
        <v>478</v>
      </c>
      <c r="E41" s="525"/>
      <c r="F41" s="526"/>
      <c r="G41" s="526"/>
    </row>
    <row r="42" spans="1:7" ht="4.5" customHeight="1" thickBot="1" x14ac:dyDescent="0.3">
      <c r="A42" s="331"/>
      <c r="B42" s="344"/>
      <c r="C42" s="343"/>
      <c r="D42" s="536"/>
      <c r="E42" s="525"/>
      <c r="F42" s="526"/>
      <c r="G42" s="526"/>
    </row>
    <row r="43" spans="1:7" ht="45.75" thickBot="1" x14ac:dyDescent="0.3">
      <c r="B43" s="565" t="s">
        <v>411</v>
      </c>
      <c r="C43" s="343"/>
      <c r="D43" s="519" t="s">
        <v>479</v>
      </c>
      <c r="E43" s="525"/>
      <c r="F43" s="526"/>
      <c r="G43" s="526"/>
    </row>
    <row r="44" spans="1:7" ht="4.5" customHeight="1" thickBot="1" x14ac:dyDescent="0.3">
      <c r="A44" s="331"/>
      <c r="B44" s="344"/>
      <c r="C44" s="343"/>
      <c r="D44" s="536"/>
      <c r="E44" s="525"/>
      <c r="F44" s="526"/>
      <c r="G44" s="526"/>
    </row>
    <row r="45" spans="1:7" ht="45.75" thickBot="1" x14ac:dyDescent="0.3">
      <c r="B45" s="565" t="s">
        <v>350</v>
      </c>
      <c r="C45" s="343"/>
      <c r="D45" s="520" t="s">
        <v>480</v>
      </c>
      <c r="E45" s="527"/>
      <c r="F45" s="528"/>
      <c r="G45" s="528"/>
    </row>
    <row r="46" spans="1:7" ht="4.5" customHeight="1" thickBot="1" x14ac:dyDescent="0.3">
      <c r="A46" s="331"/>
      <c r="B46" s="344"/>
      <c r="C46" s="343"/>
      <c r="D46" s="538"/>
      <c r="E46" s="527"/>
      <c r="F46" s="528"/>
      <c r="G46" s="528"/>
    </row>
    <row r="47" spans="1:7" ht="45.75" thickBot="1" x14ac:dyDescent="0.3">
      <c r="B47" s="564" t="s">
        <v>412</v>
      </c>
      <c r="C47" s="343"/>
      <c r="D47" s="519" t="s">
        <v>481</v>
      </c>
      <c r="E47" s="525"/>
      <c r="F47" s="526"/>
      <c r="G47" s="526"/>
    </row>
    <row r="48" spans="1:7" ht="4.5" customHeight="1" thickBot="1" x14ac:dyDescent="0.3">
      <c r="A48" s="331"/>
      <c r="B48" s="343"/>
      <c r="C48" s="343"/>
      <c r="D48" s="536"/>
      <c r="E48" s="525"/>
      <c r="F48" s="526"/>
      <c r="G48" s="526"/>
    </row>
    <row r="49" spans="1:8" ht="30.75" thickBot="1" x14ac:dyDescent="0.3">
      <c r="B49" s="565" t="s">
        <v>417</v>
      </c>
      <c r="C49" s="343"/>
      <c r="D49" s="521" t="s">
        <v>482</v>
      </c>
      <c r="E49" s="525"/>
      <c r="F49" s="526"/>
      <c r="G49" s="526"/>
    </row>
    <row r="50" spans="1:8" ht="15.75" thickBot="1" x14ac:dyDescent="0.3">
      <c r="B50" s="345" t="s">
        <v>413</v>
      </c>
      <c r="C50" s="343"/>
      <c r="D50" s="522"/>
      <c r="E50" s="525"/>
      <c r="F50" s="526"/>
      <c r="G50" s="526"/>
      <c r="H50" s="535"/>
    </row>
    <row r="51" spans="1:8" ht="30.75" thickBot="1" x14ac:dyDescent="0.3">
      <c r="B51" s="564" t="s">
        <v>1</v>
      </c>
      <c r="C51" s="343"/>
      <c r="D51" s="519" t="s">
        <v>483</v>
      </c>
      <c r="E51" s="525"/>
      <c r="F51" s="526"/>
      <c r="G51" s="526"/>
    </row>
    <row r="52" spans="1:8" ht="4.5" customHeight="1" thickBot="1" x14ac:dyDescent="0.3">
      <c r="A52" s="331"/>
      <c r="B52" s="343"/>
      <c r="C52" s="343"/>
      <c r="D52" s="536"/>
      <c r="E52" s="525"/>
      <c r="F52" s="526"/>
      <c r="G52" s="526"/>
    </row>
    <row r="53" spans="1:8" ht="60.75" thickBot="1" x14ac:dyDescent="0.3">
      <c r="B53" s="564" t="s">
        <v>22</v>
      </c>
      <c r="C53" s="343"/>
      <c r="D53" s="519" t="s">
        <v>484</v>
      </c>
      <c r="E53" s="525"/>
      <c r="F53" s="526"/>
      <c r="G53" s="526"/>
    </row>
    <row r="54" spans="1:8" ht="4.5" customHeight="1" thickBot="1" x14ac:dyDescent="0.3">
      <c r="A54" s="331"/>
      <c r="B54" s="343"/>
      <c r="C54" s="343"/>
      <c r="D54" s="536"/>
      <c r="E54" s="525"/>
      <c r="F54" s="526"/>
      <c r="G54" s="526"/>
    </row>
    <row r="55" spans="1:8" ht="45.75" thickBot="1" x14ac:dyDescent="0.3">
      <c r="B55" s="564" t="s">
        <v>23</v>
      </c>
      <c r="C55" s="343"/>
      <c r="D55" s="519" t="s">
        <v>485</v>
      </c>
      <c r="E55" s="525"/>
      <c r="F55" s="526"/>
      <c r="G55" s="526"/>
    </row>
    <row r="56" spans="1:8" ht="4.5" customHeight="1" thickBot="1" x14ac:dyDescent="0.3">
      <c r="A56" s="331"/>
      <c r="B56" s="343"/>
      <c r="C56" s="343"/>
      <c r="D56" s="536"/>
      <c r="E56" s="525"/>
      <c r="F56" s="526"/>
      <c r="G56" s="526"/>
    </row>
    <row r="57" spans="1:8" ht="60.75" thickBot="1" x14ac:dyDescent="0.3">
      <c r="B57" s="564" t="s">
        <v>24</v>
      </c>
      <c r="C57" s="343"/>
      <c r="D57" s="519" t="s">
        <v>486</v>
      </c>
      <c r="E57" s="525"/>
      <c r="F57" s="526"/>
      <c r="G57" s="526"/>
    </row>
    <row r="58" spans="1:8" ht="4.5" customHeight="1" thickBot="1" x14ac:dyDescent="0.3">
      <c r="A58" s="331"/>
      <c r="B58" s="343"/>
      <c r="C58" s="343"/>
      <c r="D58" s="536"/>
      <c r="E58" s="525"/>
      <c r="F58" s="526"/>
      <c r="G58" s="526"/>
    </row>
    <row r="59" spans="1:8" ht="30.75" thickBot="1" x14ac:dyDescent="0.3">
      <c r="B59" s="564" t="s">
        <v>25</v>
      </c>
      <c r="C59" s="343"/>
      <c r="D59" s="519" t="s">
        <v>487</v>
      </c>
      <c r="E59" s="525"/>
      <c r="F59" s="526"/>
      <c r="G59" s="526"/>
    </row>
    <row r="60" spans="1:8" ht="4.5" customHeight="1" thickBot="1" x14ac:dyDescent="0.3">
      <c r="A60" s="331"/>
      <c r="B60" s="343"/>
      <c r="C60" s="343"/>
      <c r="D60" s="536"/>
      <c r="E60" s="525"/>
      <c r="F60" s="526"/>
      <c r="G60" s="526"/>
    </row>
    <row r="61" spans="1:8" ht="90.75" thickBot="1" x14ac:dyDescent="0.3">
      <c r="B61" s="564" t="s">
        <v>260</v>
      </c>
      <c r="C61" s="343"/>
      <c r="D61" s="521" t="s">
        <v>488</v>
      </c>
      <c r="E61" s="525"/>
      <c r="F61" s="526"/>
      <c r="G61" s="526"/>
    </row>
  </sheetData>
  <hyperlinks>
    <hyperlink ref="B39" location="Notes!A1" display="Notes" xr:uid="{00000000-0004-0000-0000-000000000000}"/>
    <hyperlink ref="B51" location="Population!A1" display="Population" xr:uid="{00000000-0004-0000-0000-000001000000}"/>
    <hyperlink ref="B53" location="Demand!A1" display="Demand" xr:uid="{00000000-0004-0000-0000-000002000000}"/>
    <hyperlink ref="B55" location="'Wells and Costs'!A1" display="Wells and Costs" xr:uid="{00000000-0004-0000-0000-000003000000}"/>
    <hyperlink ref="B57" location="Conservation!A1" display="Conservation" xr:uid="{00000000-0004-0000-0000-000004000000}"/>
    <hyperlink ref="B59" location="'Wells with Cons &amp; Costs'!A1" display="Wells with Cons &amp; Costs" xr:uid="{00000000-0004-0000-0000-000005000000}"/>
    <hyperlink ref="B47" location="Results!A1" display="Results" xr:uid="{00000000-0004-0000-0000-000006000000}"/>
    <hyperlink ref="B61" location="'MPARS INV &amp; Thrive Forecast'!A1" display="MPARS INV &amp; Thrive Forecast" xr:uid="{00000000-0004-0000-0000-000007000000}"/>
    <hyperlink ref="B41" location="'Community Inputs'!A1" display="Community Inputs" xr:uid="{00000000-0004-0000-0000-000008000000}"/>
    <hyperlink ref="B43" location="'Program Setup'!A1" display="Program Setup" xr:uid="{00000000-0004-0000-0000-000009000000}"/>
    <hyperlink ref="B45" location="'Participation Rate'!A1" display="Participation Rate" xr:uid="{00000000-0004-0000-0000-00000A000000}"/>
    <hyperlink ref="B49" location="'Community Graph'!A1" display="Community Graph" xr:uid="{00000000-0004-0000-0000-00000B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2:AE14"/>
  <sheetViews>
    <sheetView workbookViewId="0">
      <selection activeCell="E20" sqref="E20"/>
    </sheetView>
  </sheetViews>
  <sheetFormatPr defaultColWidth="8.85546875" defaultRowHeight="15" x14ac:dyDescent="0.25"/>
  <cols>
    <col min="1" max="1" width="3.28515625" style="78" customWidth="1"/>
    <col min="2" max="2" width="3.28515625" style="78" bestFit="1" customWidth="1"/>
    <col min="3" max="3" width="35.140625" style="78" customWidth="1"/>
    <col min="4" max="4" width="11.140625" style="78" customWidth="1"/>
    <col min="5" max="5" width="17.28515625" style="78" customWidth="1"/>
    <col min="6" max="6" width="11.42578125" style="78" bestFit="1" customWidth="1"/>
    <col min="7" max="7" width="11.140625" style="78" bestFit="1" customWidth="1"/>
    <col min="8" max="21" width="13.5703125" style="78" customWidth="1"/>
    <col min="22" max="28" width="11" style="78" bestFit="1" customWidth="1"/>
    <col min="29" max="29" width="13.140625" style="78" customWidth="1"/>
    <col min="30" max="30" width="9.85546875" style="78" bestFit="1" customWidth="1"/>
    <col min="31" max="16384" width="8.85546875" style="78"/>
  </cols>
  <sheetData>
    <row r="2" spans="2:31" x14ac:dyDescent="0.25">
      <c r="F2" s="77"/>
    </row>
    <row r="3" spans="2:31" x14ac:dyDescent="0.25">
      <c r="F3" s="150"/>
      <c r="G3" s="150"/>
      <c r="H3" s="150"/>
      <c r="I3" s="150"/>
      <c r="J3" s="150"/>
      <c r="K3" s="150"/>
      <c r="L3" s="150"/>
      <c r="M3" s="150"/>
      <c r="N3" s="150"/>
      <c r="O3" s="150"/>
      <c r="P3" s="150"/>
      <c r="Q3" s="150"/>
      <c r="R3" s="150"/>
      <c r="S3" s="150"/>
      <c r="T3" s="150"/>
      <c r="U3" s="150"/>
      <c r="V3" s="150"/>
      <c r="W3" s="150"/>
      <c r="X3" s="150"/>
      <c r="Y3" s="150"/>
      <c r="Z3" s="150"/>
      <c r="AA3" s="150"/>
      <c r="AB3" s="150"/>
      <c r="AC3" s="150"/>
    </row>
    <row r="4" spans="2:31" x14ac:dyDescent="0.25">
      <c r="F4" s="147" t="s">
        <v>467</v>
      </c>
      <c r="G4" s="148"/>
      <c r="H4" s="148"/>
      <c r="I4" s="148"/>
      <c r="J4" s="148"/>
      <c r="K4" s="148"/>
      <c r="L4" s="148"/>
      <c r="M4" s="148"/>
      <c r="N4" s="148"/>
      <c r="O4" s="148"/>
      <c r="P4" s="148"/>
      <c r="Q4" s="148"/>
      <c r="R4" s="148"/>
      <c r="S4" s="148"/>
      <c r="T4" s="148"/>
      <c r="U4" s="148"/>
      <c r="V4" s="148"/>
      <c r="W4" s="148"/>
      <c r="X4" s="148"/>
      <c r="Y4" s="148"/>
      <c r="Z4" s="148"/>
      <c r="AA4" s="148"/>
      <c r="AB4" s="148"/>
      <c r="AC4" s="149"/>
    </row>
    <row r="5" spans="2:31" ht="45" x14ac:dyDescent="0.25">
      <c r="B5" s="140"/>
      <c r="C5" s="141" t="s">
        <v>0</v>
      </c>
      <c r="D5" s="143" t="s">
        <v>6</v>
      </c>
      <c r="E5" s="142" t="s">
        <v>370</v>
      </c>
      <c r="F5" s="144">
        <v>2017</v>
      </c>
      <c r="G5" s="145">
        <v>2018</v>
      </c>
      <c r="H5" s="145">
        <v>2019</v>
      </c>
      <c r="I5" s="145">
        <v>2020</v>
      </c>
      <c r="J5" s="145">
        <v>2021</v>
      </c>
      <c r="K5" s="145">
        <v>2022</v>
      </c>
      <c r="L5" s="145">
        <v>2023</v>
      </c>
      <c r="M5" s="145">
        <v>2024</v>
      </c>
      <c r="N5" s="145">
        <v>2025</v>
      </c>
      <c r="O5" s="145">
        <v>2026</v>
      </c>
      <c r="P5" s="145">
        <v>2027</v>
      </c>
      <c r="Q5" s="145">
        <v>2028</v>
      </c>
      <c r="R5" s="145">
        <v>2029</v>
      </c>
      <c r="S5" s="145">
        <v>2030</v>
      </c>
      <c r="T5" s="145">
        <v>2031</v>
      </c>
      <c r="U5" s="145">
        <v>2032</v>
      </c>
      <c r="V5" s="145">
        <v>2033</v>
      </c>
      <c r="W5" s="145">
        <v>2034</v>
      </c>
      <c r="X5" s="145">
        <v>2035</v>
      </c>
      <c r="Y5" s="145">
        <v>2036</v>
      </c>
      <c r="Z5" s="145">
        <v>2037</v>
      </c>
      <c r="AA5" s="145">
        <v>2038</v>
      </c>
      <c r="AB5" s="145">
        <v>2039</v>
      </c>
      <c r="AC5" s="146">
        <v>2040</v>
      </c>
      <c r="AD5" s="382" t="s">
        <v>455</v>
      </c>
    </row>
    <row r="6" spans="2:31" x14ac:dyDescent="0.25">
      <c r="B6" s="423"/>
      <c r="C6" s="424" t="str">
        <f>Population!C5</f>
        <v>Andover, City of</v>
      </c>
      <c r="D6" s="442">
        <f>VLOOKUP(C6,'MPARS INV &amp; Thrive Forecast'!C$6:G$99,5,FALSE)</f>
        <v>107.59265402909945</v>
      </c>
      <c r="E6" s="443">
        <f>VLOOKUP(C6,'MPARS INV &amp; Thrive Forecast'!C$6:U$99,18,FALSE)</f>
        <v>0.52716504388708085</v>
      </c>
      <c r="F6" s="444">
        <f>IF((D6*E6)&lt;='Community Inputs'!$C$20, (D6*E6), ((D6*$E6)*(1-'Community Inputs'!$C$19)))</f>
        <v>56.15189532134594</v>
      </c>
      <c r="G6" s="445">
        <f>IF(F6&lt;='Community Inputs'!$C$20, F6, (F6*(1-'Community Inputs'!$C$19)))</f>
        <v>55.590376368132482</v>
      </c>
      <c r="H6" s="445">
        <f>IF(G6&lt;='Community Inputs'!$C$20, G6, (G6*(1-'Community Inputs'!$C$19)))</f>
        <v>55.034472604451153</v>
      </c>
      <c r="I6" s="445">
        <f>IF(H6&lt;='Community Inputs'!$C$20, H6, (H6*(1-'Community Inputs'!$C$19)))</f>
        <v>54.484127878406639</v>
      </c>
      <c r="J6" s="445">
        <f>IF(I6&lt;='Community Inputs'!$C$20, I6, (I6*(1-'Community Inputs'!$C$19)))</f>
        <v>53.939286599622569</v>
      </c>
      <c r="K6" s="445">
        <f>IF(J6&lt;='Community Inputs'!$C$20, J6, (J6*(1-'Community Inputs'!$C$19)))</f>
        <v>53.399893733626342</v>
      </c>
      <c r="L6" s="445">
        <f>IF(K6&lt;='Community Inputs'!$C$20, K6, (K6*(1-'Community Inputs'!$C$19)))</f>
        <v>52.865894796290078</v>
      </c>
      <c r="M6" s="445">
        <f>IF(L6&lt;='Community Inputs'!$C$20, L6, (L6*(1-'Community Inputs'!$C$19)))</f>
        <v>52.337235848327175</v>
      </c>
      <c r="N6" s="445">
        <f>IF(M6&lt;='Community Inputs'!$C$20, M6, (M6*(1-'Community Inputs'!$C$19)))</f>
        <v>51.813863489843904</v>
      </c>
      <c r="O6" s="445">
        <f>IF(N6&lt;='Community Inputs'!$C$20, N6, (N6*(1-'Community Inputs'!$C$19)))</f>
        <v>51.295724854945462</v>
      </c>
      <c r="P6" s="445">
        <f>IF(O6&lt;='Community Inputs'!$C$20, O6, (O6*(1-'Community Inputs'!$C$19)))</f>
        <v>50.782767606396007</v>
      </c>
      <c r="Q6" s="445">
        <f>IF(P6&lt;='Community Inputs'!$C$20, P6, (P6*(1-'Community Inputs'!$C$19)))</f>
        <v>50.274939930332046</v>
      </c>
      <c r="R6" s="445">
        <f>IF(Q6&lt;='Community Inputs'!$C$20, Q6, (Q6*(1-'Community Inputs'!$C$19)))</f>
        <v>49.772190531028727</v>
      </c>
      <c r="S6" s="445">
        <f>IF(R6&lt;='Community Inputs'!$C$20, R6, (R6*(1-'Community Inputs'!$C$19)))</f>
        <v>49.274468625718441</v>
      </c>
      <c r="T6" s="445">
        <f>IF(S6&lt;='Community Inputs'!$C$20, S6, (S6*(1-'Community Inputs'!$C$19)))</f>
        <v>48.781723939461259</v>
      </c>
      <c r="U6" s="445">
        <f>IF(T6&lt;='Community Inputs'!$C$20, T6, (T6*(1-'Community Inputs'!$C$19)))</f>
        <v>48.293906700066643</v>
      </c>
      <c r="V6" s="445">
        <f>IF(U6&lt;='Community Inputs'!$C$20, U6, (U6*(1-'Community Inputs'!$C$19)))</f>
        <v>47.810967633065978</v>
      </c>
      <c r="W6" s="445">
        <f>IF(V6&lt;='Community Inputs'!$C$20, V6, (V6*(1-'Community Inputs'!$C$19)))</f>
        <v>47.332857956735317</v>
      </c>
      <c r="X6" s="445">
        <f>IF(W6&lt;='Community Inputs'!$C$20, W6, (W6*(1-'Community Inputs'!$C$19)))</f>
        <v>46.859529377167966</v>
      </c>
      <c r="Y6" s="445">
        <f>IF(X6&lt;='Community Inputs'!$C$20, X6, (X6*(1-'Community Inputs'!$C$19)))</f>
        <v>46.390934083396289</v>
      </c>
      <c r="Z6" s="445">
        <f>IF(Y6&lt;='Community Inputs'!$C$20, Y6, (Y6*(1-'Community Inputs'!$C$19)))</f>
        <v>45.927024742562324</v>
      </c>
      <c r="AA6" s="445">
        <f>IF(Z6&lt;='Community Inputs'!$C$20, Z6, (Z6*(1-'Community Inputs'!$C$19)))</f>
        <v>45.467754495136703</v>
      </c>
      <c r="AB6" s="445">
        <f>IF(AA6&lt;='Community Inputs'!$C$20, AA6, (AA6*(1-'Community Inputs'!$C$19)))</f>
        <v>45.013076950185336</v>
      </c>
      <c r="AC6" s="446">
        <f>IF(AB6&lt;='Community Inputs'!$C$20, AB6, (AB6*(1-'Community Inputs'!$C$19)))</f>
        <v>44.562946180683483</v>
      </c>
      <c r="AD6" s="84">
        <f>(F6-AC6)/F6</f>
        <v>0.20638571635634462</v>
      </c>
    </row>
    <row r="10" spans="2:31" x14ac:dyDescent="0.25">
      <c r="F10" s="152" t="s">
        <v>261</v>
      </c>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row>
    <row r="11" spans="2:31" s="80" customFormat="1" ht="60" x14ac:dyDescent="0.25">
      <c r="B11" s="79"/>
      <c r="C11" s="120" t="s">
        <v>0</v>
      </c>
      <c r="D11" s="581" t="s">
        <v>7</v>
      </c>
      <c r="E11" s="582"/>
      <c r="F11" s="144">
        <v>2017</v>
      </c>
      <c r="G11" s="145">
        <v>2018</v>
      </c>
      <c r="H11" s="145">
        <v>2019</v>
      </c>
      <c r="I11" s="145">
        <v>2020</v>
      </c>
      <c r="J11" s="145">
        <v>2021</v>
      </c>
      <c r="K11" s="145">
        <v>2022</v>
      </c>
      <c r="L11" s="145">
        <v>2023</v>
      </c>
      <c r="M11" s="145">
        <v>2024</v>
      </c>
      <c r="N11" s="145">
        <v>2025</v>
      </c>
      <c r="O11" s="145">
        <v>2026</v>
      </c>
      <c r="P11" s="145">
        <v>2027</v>
      </c>
      <c r="Q11" s="145">
        <v>2028</v>
      </c>
      <c r="R11" s="145">
        <v>2029</v>
      </c>
      <c r="S11" s="145">
        <v>2030</v>
      </c>
      <c r="T11" s="145">
        <v>2031</v>
      </c>
      <c r="U11" s="145">
        <v>2032</v>
      </c>
      <c r="V11" s="145">
        <v>2033</v>
      </c>
      <c r="W11" s="145">
        <v>2034</v>
      </c>
      <c r="X11" s="145">
        <v>2035</v>
      </c>
      <c r="Y11" s="145">
        <v>2036</v>
      </c>
      <c r="Z11" s="145">
        <v>2037</v>
      </c>
      <c r="AA11" s="145">
        <v>2038</v>
      </c>
      <c r="AB11" s="145">
        <v>2039</v>
      </c>
      <c r="AC11" s="146">
        <v>2040</v>
      </c>
      <c r="AD11" s="373" t="s">
        <v>444</v>
      </c>
      <c r="AE11" s="373" t="s">
        <v>458</v>
      </c>
    </row>
    <row r="12" spans="2:31" x14ac:dyDescent="0.25">
      <c r="B12" s="423"/>
      <c r="C12" s="424" t="str">
        <f>C6</f>
        <v>Andover, City of</v>
      </c>
      <c r="D12" s="584">
        <f>VLOOKUP(C12,'MPARS INV &amp; Thrive Forecast'!$C$6:$Q$99,15,FALSE)</f>
        <v>4.1063738290705256</v>
      </c>
      <c r="E12" s="583"/>
      <c r="F12" s="447">
        <f>Population!H5*Demand!F6*Demand!$D12</f>
        <v>7604412.2603372829</v>
      </c>
      <c r="G12" s="448">
        <f>Population!I5*Demand!G6*Demand!$D12</f>
        <v>7606027.2473737774</v>
      </c>
      <c r="H12" s="448">
        <f>Population!J5*Demand!H6*Demand!$D12</f>
        <v>7606849.4934435096</v>
      </c>
      <c r="I12" s="448">
        <f>Population!K5*Demand!I6*Demand!$D12</f>
        <v>7606894.6918671085</v>
      </c>
      <c r="J12" s="448">
        <f>Population!L5*Demand!J6*Demand!$D12</f>
        <v>7623853.5923860352</v>
      </c>
      <c r="K12" s="448">
        <f>Population!M5*Demand!K6*Demand!$D12</f>
        <v>7639712.6254253974</v>
      </c>
      <c r="L12" s="448">
        <f>Population!N5*Demand!L6*Demand!$D12</f>
        <v>7654492.0924447328</v>
      </c>
      <c r="M12" s="448">
        <f>Population!O5*Demand!M6*Demand!$D12</f>
        <v>7668211.9988611396</v>
      </c>
      <c r="N12" s="448">
        <f>Population!P5*Demand!N6*Demand!$D12</f>
        <v>7680892.0579399746</v>
      </c>
      <c r="O12" s="448">
        <f>Population!Q5*Demand!O6*Demand!$D12</f>
        <v>7692551.6946373452</v>
      </c>
      <c r="P12" s="448">
        <f>Population!R5*Demand!P6*Demand!$D12</f>
        <v>7703210.0493949754</v>
      </c>
      <c r="Q12" s="448">
        <f>Population!S5*Demand!Q6*Demand!$D12</f>
        <v>7712885.9818879887</v>
      </c>
      <c r="R12" s="448">
        <f>Population!T5*Demand!R6*Demand!$D12</f>
        <v>7721598.0747262035</v>
      </c>
      <c r="S12" s="448">
        <f>Population!U5*Demand!S6*Demand!$D12</f>
        <v>7729364.637109464</v>
      </c>
      <c r="T12" s="448">
        <f>Population!V5*Demand!T6*Demand!$D12</f>
        <v>7726187.9087114902</v>
      </c>
      <c r="U12" s="448">
        <f>Population!W5*Demand!U6*Demand!$D12</f>
        <v>7722301.7784177633</v>
      </c>
      <c r="V12" s="448">
        <f>Population!X5*Demand!V6*Demand!$D12</f>
        <v>7717720.7519390415</v>
      </c>
      <c r="W12" s="448">
        <f>Population!Y5*Demand!W6*Demand!$D12</f>
        <v>7712459.115812052</v>
      </c>
      <c r="X12" s="448">
        <f>Population!Z5*Demand!X6*Demand!$D12</f>
        <v>7706530.9403324081</v>
      </c>
      <c r="Y12" s="448">
        <f>Population!AA5*Demand!Y6*Demand!$D12</f>
        <v>7699950.0824507764</v>
      </c>
      <c r="Z12" s="448">
        <f>Population!AB5*Demand!Z6*Demand!$D12</f>
        <v>7692730.1886327434</v>
      </c>
      <c r="AA12" s="448">
        <f>Population!AC5*Demand!AA6*Demand!$D12</f>
        <v>7684884.6976828258</v>
      </c>
      <c r="AB12" s="448">
        <f>Population!AD5*Demand!AB6*Demand!$D12</f>
        <v>7676426.8435330447</v>
      </c>
      <c r="AC12" s="449">
        <f>Population!AE5*Demand!AC6*Demand!$D12</f>
        <v>7667369.6579964906</v>
      </c>
      <c r="AD12" s="81">
        <f>AC12-F12</f>
        <v>62957.397659207694</v>
      </c>
      <c r="AE12" s="88">
        <f>AD12/F12</f>
        <v>8.2790616163168542E-3</v>
      </c>
    </row>
    <row r="13" spans="2:31" x14ac:dyDescent="0.25">
      <c r="G13" s="81"/>
      <c r="H13" s="81"/>
      <c r="I13" s="81"/>
      <c r="J13" s="81"/>
      <c r="K13" s="81"/>
      <c r="L13" s="81"/>
      <c r="M13" s="81"/>
      <c r="N13" s="81"/>
      <c r="O13" s="81"/>
      <c r="P13" s="81"/>
      <c r="Q13" s="81"/>
      <c r="R13" s="81"/>
      <c r="S13" s="81"/>
      <c r="T13" s="81"/>
      <c r="U13" s="81"/>
      <c r="V13" s="81"/>
      <c r="W13" s="81"/>
      <c r="X13" s="81"/>
      <c r="Y13" s="81"/>
      <c r="Z13" s="81"/>
      <c r="AA13" s="81"/>
      <c r="AB13" s="81"/>
      <c r="AC13" s="81"/>
      <c r="AD13" s="81"/>
    </row>
    <row r="14" spans="2:31" x14ac:dyDescent="0.25">
      <c r="G14" s="81"/>
      <c r="H14" s="81"/>
      <c r="I14" s="81"/>
      <c r="J14" s="81"/>
      <c r="K14" s="81"/>
      <c r="L14" s="81"/>
      <c r="M14" s="81"/>
      <c r="N14" s="81"/>
      <c r="O14" s="81"/>
      <c r="P14" s="81"/>
      <c r="Q14" s="81"/>
      <c r="R14" s="81"/>
      <c r="S14" s="81"/>
      <c r="T14" s="81"/>
      <c r="U14" s="81"/>
      <c r="V14" s="81"/>
      <c r="W14" s="81"/>
      <c r="X14" s="81"/>
      <c r="Y14" s="81"/>
      <c r="Z14" s="81"/>
      <c r="AA14" s="81"/>
      <c r="AB14" s="81"/>
      <c r="AC14" s="81"/>
      <c r="AD14" s="81"/>
    </row>
  </sheetData>
  <conditionalFormatting sqref="AD12">
    <cfRule type="cellIs" dxfId="1" priority="2" operator="lessThan">
      <formula>0</formula>
    </cfRule>
  </conditionalFormatting>
  <conditionalFormatting sqref="F6:AC6">
    <cfRule type="cellIs" dxfId="0" priority="1" operator="lessThan">
      <formula>40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AH10"/>
  <sheetViews>
    <sheetView workbookViewId="0">
      <selection activeCell="H16" sqref="H16"/>
    </sheetView>
  </sheetViews>
  <sheetFormatPr defaultColWidth="12.140625" defaultRowHeight="15" x14ac:dyDescent="0.25"/>
  <cols>
    <col min="1" max="1" width="2.5703125" style="204" customWidth="1"/>
    <col min="2" max="2" width="3" style="204" bestFit="1" customWidth="1"/>
    <col min="3" max="3" width="40" style="204" customWidth="1"/>
    <col min="4" max="4" width="11.7109375" style="204" customWidth="1"/>
    <col min="5" max="5" width="10.7109375" style="204" customWidth="1"/>
    <col min="6" max="16384" width="12.140625" style="204"/>
  </cols>
  <sheetData>
    <row r="1" spans="2:34" x14ac:dyDescent="0.25">
      <c r="E1" s="205"/>
    </row>
    <row r="2" spans="2:34" x14ac:dyDescent="0.25">
      <c r="C2" s="206" t="s">
        <v>320</v>
      </c>
      <c r="F2" s="207"/>
      <c r="G2" s="208"/>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row>
    <row r="3" spans="2:34" s="212" customFormat="1" ht="43.9" customHeight="1" x14ac:dyDescent="0.25">
      <c r="B3" s="209"/>
      <c r="C3" s="227" t="s">
        <v>0</v>
      </c>
      <c r="D3" s="210" t="s">
        <v>369</v>
      </c>
      <c r="E3" s="211" t="s">
        <v>427</v>
      </c>
      <c r="F3" s="121" t="s">
        <v>420</v>
      </c>
      <c r="G3" s="229">
        <v>2017</v>
      </c>
      <c r="H3" s="230">
        <v>2018</v>
      </c>
      <c r="I3" s="230">
        <v>2019</v>
      </c>
      <c r="J3" s="230">
        <v>2020</v>
      </c>
      <c r="K3" s="230">
        <v>2021</v>
      </c>
      <c r="L3" s="230">
        <v>2022</v>
      </c>
      <c r="M3" s="230">
        <v>2023</v>
      </c>
      <c r="N3" s="230">
        <v>2024</v>
      </c>
      <c r="O3" s="230">
        <v>2025</v>
      </c>
      <c r="P3" s="230">
        <v>2026</v>
      </c>
      <c r="Q3" s="230">
        <v>2027</v>
      </c>
      <c r="R3" s="230">
        <v>2028</v>
      </c>
      <c r="S3" s="230">
        <v>2029</v>
      </c>
      <c r="T3" s="230">
        <v>2030</v>
      </c>
      <c r="U3" s="230">
        <v>2031</v>
      </c>
      <c r="V3" s="230">
        <v>2032</v>
      </c>
      <c r="W3" s="230">
        <v>2033</v>
      </c>
      <c r="X3" s="230">
        <v>2034</v>
      </c>
      <c r="Y3" s="230">
        <v>2035</v>
      </c>
      <c r="Z3" s="230">
        <v>2036</v>
      </c>
      <c r="AA3" s="230">
        <v>2037</v>
      </c>
      <c r="AB3" s="230">
        <v>2038</v>
      </c>
      <c r="AC3" s="230">
        <v>2039</v>
      </c>
      <c r="AD3" s="231">
        <v>2040</v>
      </c>
      <c r="AE3" s="232" t="s">
        <v>428</v>
      </c>
    </row>
    <row r="4" spans="2:34" x14ac:dyDescent="0.25">
      <c r="B4" s="450"/>
      <c r="C4" s="451" t="str">
        <f>Population!C5</f>
        <v>Andover, City of</v>
      </c>
      <c r="D4" s="452">
        <f>'Community Inputs'!E11</f>
        <v>6</v>
      </c>
      <c r="E4" s="375">
        <f>Demand!F12/(D4-1)</f>
        <v>1520882.4520674567</v>
      </c>
      <c r="F4" s="453">
        <f>'Community Inputs'!I11</f>
        <v>0.9</v>
      </c>
      <c r="G4" s="454">
        <v>0</v>
      </c>
      <c r="H4" s="455">
        <f>ROUNDUP(IF((Demand!G12-(($E4*($D4+G4-1))*$F4))/$E4 &lt; 0, 0, (Demand!G12-(($E4*($D4+G4-1))*$F4))/$E4), 0) + G4</f>
        <v>1</v>
      </c>
      <c r="I4" s="455">
        <f>ROUNDUP(IF((Demand!H12-(($E4*($D4+H4-1))*$F4))/$E4 &lt; 0, 0, (Demand!H12-(($E4*($D4+H4-1))*$F4))/$E4), 0) + H4</f>
        <v>1</v>
      </c>
      <c r="J4" s="455">
        <f>ROUNDUP(IF((Demand!I12-(($E4*($D4+I4-1))*$F4))/$E4 &lt; 0, 0, (Demand!I12-(($E4*($D4+I4-1))*$F4))/$E4), 0) + I4</f>
        <v>1</v>
      </c>
      <c r="K4" s="455">
        <f>ROUNDUP(IF((Demand!J12-(($E4*($D4+J4-1))*$F4))/$E4 &lt; 0, 0, (Demand!J12-(($E4*($D4+J4-1))*$F4))/$E4), 0) + J4</f>
        <v>1</v>
      </c>
      <c r="L4" s="455">
        <f>ROUNDUP(IF((Demand!K12-(($E4*($D4+K4-1))*$F4))/$E4 &lt; 0, 0, (Demand!K12-(($E4*($D4+K4-1))*$F4))/$E4), 0) + K4</f>
        <v>1</v>
      </c>
      <c r="M4" s="455">
        <f>ROUNDUP(IF((Demand!L12-(($E4*($D4+L4-1))*$F4))/$E4 &lt; 0, 0, (Demand!L12-(($E4*($D4+L4-1))*$F4))/$E4), 0) + L4</f>
        <v>1</v>
      </c>
      <c r="N4" s="455">
        <f>ROUNDUP(IF((Demand!M12-(($E4*($D4+M4-1))*$F4))/$E4 &lt; 0, 0, (Demand!M12-(($E4*($D4+M4-1))*$F4))/$E4), 0) + M4</f>
        <v>1</v>
      </c>
      <c r="O4" s="455">
        <f>ROUNDUP(IF((Demand!N12-(($E4*($D4+N4-1))*$F4))/$E4 &lt; 0, 0, (Demand!N12-(($E4*($D4+N4-1))*$F4))/$E4), 0) + N4</f>
        <v>1</v>
      </c>
      <c r="P4" s="455">
        <f>ROUNDUP(IF((Demand!O12-(($E4*($D4+O4-1))*$F4))/$E4 &lt; 0, 0, (Demand!O12-(($E4*($D4+O4-1))*$F4))/$E4), 0) + O4</f>
        <v>1</v>
      </c>
      <c r="Q4" s="455">
        <f>ROUNDUP(IF((Demand!P12-(($E4*($D4+P4-1))*$F4))/$E4 &lt; 0, 0, (Demand!P12-(($E4*($D4+P4-1))*$F4))/$E4), 0) + P4</f>
        <v>1</v>
      </c>
      <c r="R4" s="455">
        <f>ROUNDUP(IF((Demand!Q12-(($E4*($D4+Q4-1))*$F4))/$E4 &lt; 0, 0, (Demand!Q12-(($E4*($D4+Q4-1))*$F4))/$E4), 0) + Q4</f>
        <v>1</v>
      </c>
      <c r="S4" s="455">
        <f>ROUNDUP(IF((Demand!R12-(($E4*($D4+R4-1))*$F4))/$E4 &lt; 0, 0, (Demand!R12-(($E4*($D4+R4-1))*$F4))/$E4), 0) + R4</f>
        <v>1</v>
      </c>
      <c r="T4" s="455">
        <f>ROUNDUP(IF((Demand!S12-(($E4*($D4+S4-1))*$F4))/$E4 &lt; 0, 0, (Demand!S12-(($E4*($D4+S4-1))*$F4))/$E4), 0) + S4</f>
        <v>1</v>
      </c>
      <c r="U4" s="455">
        <f>ROUNDUP(IF((Demand!T12-(($E4*($D4+T4-1))*$F4))/$E4 &lt; 0, 0, (Demand!T12-(($E4*($D4+T4-1))*$F4))/$E4), 0) + T4</f>
        <v>1</v>
      </c>
      <c r="V4" s="455">
        <f>ROUNDUP(IF((Demand!U12-(($E4*($D4+U4-1))*$F4))/$E4 &lt; 0, 0, (Demand!U12-(($E4*($D4+U4-1))*$F4))/$E4), 0) + U4</f>
        <v>1</v>
      </c>
      <c r="W4" s="455">
        <f>ROUNDUP(IF((Demand!V12-(($E4*($D4+V4-1))*$F4))/$E4 &lt; 0, 0, (Demand!V12-(($E4*($D4+V4-1))*$F4))/$E4), 0) + V4</f>
        <v>1</v>
      </c>
      <c r="X4" s="455">
        <f>ROUNDUP(IF((Demand!W12-(($E4*($D4+W4-1))*$F4))/$E4 &lt; 0, 0, (Demand!W12-(($E4*($D4+W4-1))*$F4))/$E4), 0) + W4</f>
        <v>1</v>
      </c>
      <c r="Y4" s="455">
        <f>ROUNDUP(IF((Demand!X12-(($E4*($D4+X4-1))*$F4))/$E4 &lt; 0, 0, (Demand!X12-(($E4*($D4+X4-1))*$F4))/$E4), 0) + X4</f>
        <v>1</v>
      </c>
      <c r="Z4" s="455">
        <f>ROUNDUP(IF((Demand!Y12-(($E4*($D4+Y4-1))*$F4))/$E4 &lt; 0, 0, (Demand!Y12-(($E4*($D4+Y4-1))*$F4))/$E4), 0) + Y4</f>
        <v>1</v>
      </c>
      <c r="AA4" s="455">
        <f>ROUNDUP(IF((Demand!Z12-(($E4*($D4+Z4-1))*$F4))/$E4 &lt; 0, 0, (Demand!Z12-(($E4*($D4+Z4-1))*$F4))/$E4), 0) + Z4</f>
        <v>1</v>
      </c>
      <c r="AB4" s="455">
        <f>ROUNDUP(IF((Demand!AA12-(($E4*($D4+AA4-1))*$F4))/$E4 &lt; 0, 0, (Demand!AA12-(($E4*($D4+AA4-1))*$F4))/$E4), 0) + AA4</f>
        <v>1</v>
      </c>
      <c r="AC4" s="455">
        <f>ROUNDUP(IF((Demand!AB12-(($E4*($D4+AB4-1))*$F4))/$E4 &lt; 0, 0, (Demand!AB12-(($E4*($D4+AB4-1))*$F4))/$E4), 0) + AB4</f>
        <v>1</v>
      </c>
      <c r="AD4" s="456">
        <f>ROUNDUP(IF((Demand!AC12-(($E4*($D4+AC4-1))*$F4))/$E4 &lt; 0, 0, (Demand!AC12-(($E4*($D4+AC4-1))*$F4))/$E4), 0) + AC4</f>
        <v>1</v>
      </c>
      <c r="AE4" s="374">
        <f>AD4</f>
        <v>1</v>
      </c>
      <c r="AF4" s="213"/>
    </row>
    <row r="7" spans="2:34" x14ac:dyDescent="0.25">
      <c r="C7" s="206" t="s">
        <v>321</v>
      </c>
    </row>
    <row r="8" spans="2:34" s="222" customFormat="1" ht="30" x14ac:dyDescent="0.25">
      <c r="B8" s="214"/>
      <c r="C8" s="215" t="s">
        <v>0</v>
      </c>
      <c r="D8" s="216" t="s">
        <v>8</v>
      </c>
      <c r="E8" s="217" t="s">
        <v>9</v>
      </c>
      <c r="F8" s="218" t="s">
        <v>10</v>
      </c>
      <c r="G8" s="219">
        <v>2017</v>
      </c>
      <c r="H8" s="220">
        <v>2018</v>
      </c>
      <c r="I8" s="220">
        <v>2019</v>
      </c>
      <c r="J8" s="220">
        <v>2020</v>
      </c>
      <c r="K8" s="220">
        <v>2021</v>
      </c>
      <c r="L8" s="220">
        <v>2022</v>
      </c>
      <c r="M8" s="220">
        <v>2023</v>
      </c>
      <c r="N8" s="220">
        <v>2024</v>
      </c>
      <c r="O8" s="220">
        <v>2025</v>
      </c>
      <c r="P8" s="220">
        <v>2026</v>
      </c>
      <c r="Q8" s="220">
        <v>2027</v>
      </c>
      <c r="R8" s="220">
        <v>2028</v>
      </c>
      <c r="S8" s="220">
        <v>2029</v>
      </c>
      <c r="T8" s="220">
        <v>2030</v>
      </c>
      <c r="U8" s="220">
        <v>2031</v>
      </c>
      <c r="V8" s="220">
        <v>2032</v>
      </c>
      <c r="W8" s="220">
        <v>2033</v>
      </c>
      <c r="X8" s="220">
        <v>2034</v>
      </c>
      <c r="Y8" s="220">
        <v>2035</v>
      </c>
      <c r="Z8" s="220">
        <v>2036</v>
      </c>
      <c r="AA8" s="220">
        <v>2037</v>
      </c>
      <c r="AB8" s="220">
        <v>2038</v>
      </c>
      <c r="AC8" s="220">
        <v>2039</v>
      </c>
      <c r="AD8" s="221">
        <v>2040</v>
      </c>
    </row>
    <row r="9" spans="2:34" x14ac:dyDescent="0.25">
      <c r="B9" s="450"/>
      <c r="C9" s="451" t="str">
        <f>Population!C5</f>
        <v>Andover, City of</v>
      </c>
      <c r="D9" s="457">
        <f>'Community Inputs'!F11</f>
        <v>500000</v>
      </c>
      <c r="E9" s="457">
        <f>'Community Inputs'!G11</f>
        <v>50000</v>
      </c>
      <c r="F9" s="458">
        <f>NPV('Community Inputs'!$D$15, 'Wells and Costs'!G9:AD9)</f>
        <v>1269531.3713473063</v>
      </c>
      <c r="G9" s="459">
        <v>0</v>
      </c>
      <c r="H9" s="460">
        <f t="shared" ref="H9:AD9" si="0">IF(H4=G4,$E9*H4,(($D9*(H4-G4)+($E9*H4))))</f>
        <v>550000</v>
      </c>
      <c r="I9" s="460">
        <f t="shared" si="0"/>
        <v>50000</v>
      </c>
      <c r="J9" s="460">
        <f t="shared" si="0"/>
        <v>50000</v>
      </c>
      <c r="K9" s="460">
        <f t="shared" si="0"/>
        <v>50000</v>
      </c>
      <c r="L9" s="460">
        <f t="shared" si="0"/>
        <v>50000</v>
      </c>
      <c r="M9" s="460">
        <f t="shared" si="0"/>
        <v>50000</v>
      </c>
      <c r="N9" s="460">
        <f t="shared" si="0"/>
        <v>50000</v>
      </c>
      <c r="O9" s="460">
        <f t="shared" si="0"/>
        <v>50000</v>
      </c>
      <c r="P9" s="460">
        <f t="shared" si="0"/>
        <v>50000</v>
      </c>
      <c r="Q9" s="460">
        <f t="shared" si="0"/>
        <v>50000</v>
      </c>
      <c r="R9" s="460">
        <f t="shared" si="0"/>
        <v>50000</v>
      </c>
      <c r="S9" s="460">
        <f t="shared" si="0"/>
        <v>50000</v>
      </c>
      <c r="T9" s="460">
        <f t="shared" si="0"/>
        <v>50000</v>
      </c>
      <c r="U9" s="460">
        <f t="shared" si="0"/>
        <v>50000</v>
      </c>
      <c r="V9" s="460">
        <f t="shared" si="0"/>
        <v>50000</v>
      </c>
      <c r="W9" s="460">
        <f t="shared" si="0"/>
        <v>50000</v>
      </c>
      <c r="X9" s="460">
        <f t="shared" si="0"/>
        <v>50000</v>
      </c>
      <c r="Y9" s="460">
        <f t="shared" si="0"/>
        <v>50000</v>
      </c>
      <c r="Z9" s="460">
        <f t="shared" si="0"/>
        <v>50000</v>
      </c>
      <c r="AA9" s="460">
        <f t="shared" si="0"/>
        <v>50000</v>
      </c>
      <c r="AB9" s="460">
        <f t="shared" si="0"/>
        <v>50000</v>
      </c>
      <c r="AC9" s="460">
        <f t="shared" si="0"/>
        <v>50000</v>
      </c>
      <c r="AD9" s="461">
        <f t="shared" si="0"/>
        <v>50000</v>
      </c>
    </row>
    <row r="10" spans="2:34" x14ac:dyDescent="0.25">
      <c r="D10" s="75"/>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B1:AI30"/>
  <sheetViews>
    <sheetView workbookViewId="0">
      <selection activeCell="D8" sqref="D8:E8"/>
    </sheetView>
  </sheetViews>
  <sheetFormatPr defaultColWidth="11.7109375" defaultRowHeight="15" x14ac:dyDescent="0.25"/>
  <cols>
    <col min="1" max="1" width="3" style="98" customWidth="1"/>
    <col min="2" max="2" width="4.7109375" style="98" customWidth="1"/>
    <col min="3" max="3" width="37" style="98" customWidth="1"/>
    <col min="4" max="4" width="14.7109375" style="98" customWidth="1"/>
    <col min="5" max="5" width="13.5703125" style="98" customWidth="1"/>
    <col min="6" max="31" width="11.7109375" style="98"/>
    <col min="32" max="32" width="15.140625" style="98" bestFit="1" customWidth="1"/>
    <col min="33" max="16384" width="11.7109375" style="98"/>
  </cols>
  <sheetData>
    <row r="1" spans="2:30" x14ac:dyDescent="0.25">
      <c r="F1" s="98">
        <v>1</v>
      </c>
      <c r="G1" s="98">
        <v>2</v>
      </c>
      <c r="H1" s="98">
        <v>3</v>
      </c>
      <c r="I1" s="98">
        <v>4</v>
      </c>
      <c r="J1" s="98">
        <v>5</v>
      </c>
      <c r="K1" s="98">
        <v>6</v>
      </c>
      <c r="L1" s="98">
        <v>7</v>
      </c>
      <c r="M1" s="98">
        <v>8</v>
      </c>
      <c r="N1" s="98">
        <v>9</v>
      </c>
      <c r="O1" s="98">
        <v>10</v>
      </c>
      <c r="P1" s="98">
        <v>11</v>
      </c>
      <c r="Q1" s="98">
        <v>12</v>
      </c>
      <c r="R1" s="98">
        <v>13</v>
      </c>
      <c r="S1" s="98">
        <v>14</v>
      </c>
      <c r="T1" s="98">
        <v>15</v>
      </c>
      <c r="U1" s="98">
        <v>16</v>
      </c>
      <c r="V1" s="98">
        <v>17</v>
      </c>
      <c r="W1" s="98">
        <v>18</v>
      </c>
      <c r="X1" s="98">
        <v>19</v>
      </c>
      <c r="Y1" s="98">
        <v>20</v>
      </c>
      <c r="Z1" s="98">
        <v>21</v>
      </c>
      <c r="AA1" s="98">
        <v>22</v>
      </c>
      <c r="AB1" s="98">
        <v>23</v>
      </c>
      <c r="AC1" s="98">
        <v>24</v>
      </c>
    </row>
    <row r="2" spans="2:30" x14ac:dyDescent="0.25">
      <c r="B2" s="77" t="s">
        <v>389</v>
      </c>
      <c r="F2" s="115" t="s">
        <v>393</v>
      </c>
    </row>
    <row r="3" spans="2:30" ht="45" x14ac:dyDescent="0.25">
      <c r="B3" s="100"/>
      <c r="C3" s="154" t="s">
        <v>0</v>
      </c>
      <c r="D3" s="151" t="s">
        <v>391</v>
      </c>
      <c r="E3" s="155" t="s">
        <v>392</v>
      </c>
      <c r="F3" s="156">
        <v>2017</v>
      </c>
      <c r="G3" s="157">
        <v>2018</v>
      </c>
      <c r="H3" s="157">
        <v>2019</v>
      </c>
      <c r="I3" s="157">
        <v>2020</v>
      </c>
      <c r="J3" s="157">
        <v>2021</v>
      </c>
      <c r="K3" s="157">
        <v>2022</v>
      </c>
      <c r="L3" s="157">
        <v>2023</v>
      </c>
      <c r="M3" s="157">
        <v>2024</v>
      </c>
      <c r="N3" s="157">
        <v>2025</v>
      </c>
      <c r="O3" s="157">
        <v>2026</v>
      </c>
      <c r="P3" s="157">
        <v>2027</v>
      </c>
      <c r="Q3" s="157">
        <v>2028</v>
      </c>
      <c r="R3" s="157">
        <v>2029</v>
      </c>
      <c r="S3" s="157">
        <v>2030</v>
      </c>
      <c r="T3" s="157">
        <v>2031</v>
      </c>
      <c r="U3" s="157">
        <v>2032</v>
      </c>
      <c r="V3" s="157">
        <v>2033</v>
      </c>
      <c r="W3" s="157">
        <v>2034</v>
      </c>
      <c r="X3" s="157">
        <v>2035</v>
      </c>
      <c r="Y3" s="157">
        <v>2036</v>
      </c>
      <c r="Z3" s="157">
        <v>2037</v>
      </c>
      <c r="AA3" s="157">
        <v>2038</v>
      </c>
      <c r="AB3" s="157">
        <v>2039</v>
      </c>
      <c r="AC3" s="158">
        <v>2040</v>
      </c>
      <c r="AD3" s="203" t="s">
        <v>418</v>
      </c>
    </row>
    <row r="4" spans="2:30" x14ac:dyDescent="0.25">
      <c r="B4" s="462"/>
      <c r="C4" s="463" t="str">
        <f>Population!C5</f>
        <v>Andover, City of</v>
      </c>
      <c r="D4" s="464">
        <f>ImplYear1</f>
        <v>2018</v>
      </c>
      <c r="E4" s="465">
        <f t="shared" ref="E4" si="0">VLOOKUP(C4, ProgramLifeTable, 3, FALSE)</f>
        <v>5</v>
      </c>
      <c r="F4" s="466">
        <f>IF(AND($D4&lt;=F$3,F$3&lt;($D4+$E4)), 1, 0)</f>
        <v>0</v>
      </c>
      <c r="G4" s="467">
        <f t="shared" ref="G4:AC4" si="1">IF(AND($D4&lt;=G$3,G$3&lt;($D4+$E4)), 1, 0)</f>
        <v>1</v>
      </c>
      <c r="H4" s="467">
        <f t="shared" si="1"/>
        <v>1</v>
      </c>
      <c r="I4" s="467">
        <f t="shared" si="1"/>
        <v>1</v>
      </c>
      <c r="J4" s="467">
        <f t="shared" si="1"/>
        <v>1</v>
      </c>
      <c r="K4" s="467">
        <f t="shared" si="1"/>
        <v>1</v>
      </c>
      <c r="L4" s="467">
        <f t="shared" si="1"/>
        <v>0</v>
      </c>
      <c r="M4" s="467">
        <f t="shared" si="1"/>
        <v>0</v>
      </c>
      <c r="N4" s="467">
        <f t="shared" si="1"/>
        <v>0</v>
      </c>
      <c r="O4" s="467">
        <f t="shared" si="1"/>
        <v>0</v>
      </c>
      <c r="P4" s="467">
        <f t="shared" si="1"/>
        <v>0</v>
      </c>
      <c r="Q4" s="467">
        <f t="shared" si="1"/>
        <v>0</v>
      </c>
      <c r="R4" s="467">
        <f t="shared" si="1"/>
        <v>0</v>
      </c>
      <c r="S4" s="467">
        <f t="shared" si="1"/>
        <v>0</v>
      </c>
      <c r="T4" s="467">
        <f t="shared" si="1"/>
        <v>0</v>
      </c>
      <c r="U4" s="467">
        <f t="shared" si="1"/>
        <v>0</v>
      </c>
      <c r="V4" s="467">
        <f t="shared" si="1"/>
        <v>0</v>
      </c>
      <c r="W4" s="467">
        <f t="shared" si="1"/>
        <v>0</v>
      </c>
      <c r="X4" s="467">
        <f t="shared" si="1"/>
        <v>0</v>
      </c>
      <c r="Y4" s="467">
        <f t="shared" si="1"/>
        <v>0</v>
      </c>
      <c r="Z4" s="467">
        <f t="shared" si="1"/>
        <v>0</v>
      </c>
      <c r="AA4" s="467">
        <f t="shared" si="1"/>
        <v>0</v>
      </c>
      <c r="AB4" s="467">
        <f t="shared" si="1"/>
        <v>0</v>
      </c>
      <c r="AC4" s="468">
        <f t="shared" si="1"/>
        <v>0</v>
      </c>
      <c r="AD4" s="469">
        <f>SUM(F4:AC4)</f>
        <v>5</v>
      </c>
    </row>
    <row r="5" spans="2:30" s="114" customFormat="1" x14ac:dyDescent="0.25">
      <c r="B5" s="110"/>
      <c r="C5" s="111"/>
      <c r="D5" s="112"/>
      <c r="E5" s="113"/>
    </row>
    <row r="6" spans="2:30" x14ac:dyDescent="0.25">
      <c r="B6" s="77" t="s">
        <v>390</v>
      </c>
      <c r="F6" s="77" t="s">
        <v>419</v>
      </c>
    </row>
    <row r="7" spans="2:30" x14ac:dyDescent="0.25">
      <c r="B7" s="100"/>
      <c r="C7" s="154" t="s">
        <v>0</v>
      </c>
      <c r="D7" s="567"/>
      <c r="E7" s="568"/>
      <c r="F7" s="156">
        <v>2017</v>
      </c>
      <c r="G7" s="157">
        <v>2018</v>
      </c>
      <c r="H7" s="157">
        <v>2019</v>
      </c>
      <c r="I7" s="157">
        <v>2020</v>
      </c>
      <c r="J7" s="157">
        <v>2021</v>
      </c>
      <c r="K7" s="157">
        <v>2022</v>
      </c>
      <c r="L7" s="157">
        <v>2023</v>
      </c>
      <c r="M7" s="157">
        <v>2024</v>
      </c>
      <c r="N7" s="157">
        <v>2025</v>
      </c>
      <c r="O7" s="157">
        <v>2026</v>
      </c>
      <c r="P7" s="157">
        <v>2027</v>
      </c>
      <c r="Q7" s="157">
        <v>2028</v>
      </c>
      <c r="R7" s="157">
        <v>2029</v>
      </c>
      <c r="S7" s="157">
        <v>2030</v>
      </c>
      <c r="T7" s="157">
        <v>2031</v>
      </c>
      <c r="U7" s="157">
        <v>2032</v>
      </c>
      <c r="V7" s="157">
        <v>2033</v>
      </c>
      <c r="W7" s="157">
        <v>2034</v>
      </c>
      <c r="X7" s="157">
        <v>2035</v>
      </c>
      <c r="Y7" s="157">
        <v>2036</v>
      </c>
      <c r="Z7" s="157">
        <v>2037</v>
      </c>
      <c r="AA7" s="157">
        <v>2038</v>
      </c>
      <c r="AB7" s="157">
        <v>2039</v>
      </c>
      <c r="AC7" s="158">
        <v>2040</v>
      </c>
    </row>
    <row r="8" spans="2:30" x14ac:dyDescent="0.25">
      <c r="B8" s="462"/>
      <c r="C8" s="470" t="str">
        <f>Population!C5</f>
        <v>Andover, City of</v>
      </c>
      <c r="D8" s="569"/>
      <c r="E8" s="570"/>
      <c r="F8" s="466">
        <v>0</v>
      </c>
      <c r="G8" s="467">
        <f t="shared" ref="G8:AC8" si="2">IF(G4=1,  F8+1,  F8)</f>
        <v>1</v>
      </c>
      <c r="H8" s="467">
        <f t="shared" si="2"/>
        <v>2</v>
      </c>
      <c r="I8" s="467">
        <f t="shared" si="2"/>
        <v>3</v>
      </c>
      <c r="J8" s="467">
        <f t="shared" si="2"/>
        <v>4</v>
      </c>
      <c r="K8" s="467">
        <f t="shared" si="2"/>
        <v>5</v>
      </c>
      <c r="L8" s="467">
        <f t="shared" si="2"/>
        <v>5</v>
      </c>
      <c r="M8" s="467">
        <f t="shared" si="2"/>
        <v>5</v>
      </c>
      <c r="N8" s="467">
        <f t="shared" si="2"/>
        <v>5</v>
      </c>
      <c r="O8" s="467">
        <f t="shared" si="2"/>
        <v>5</v>
      </c>
      <c r="P8" s="467">
        <f t="shared" si="2"/>
        <v>5</v>
      </c>
      <c r="Q8" s="467">
        <f t="shared" si="2"/>
        <v>5</v>
      </c>
      <c r="R8" s="467">
        <f t="shared" si="2"/>
        <v>5</v>
      </c>
      <c r="S8" s="467">
        <f t="shared" si="2"/>
        <v>5</v>
      </c>
      <c r="T8" s="467">
        <f t="shared" si="2"/>
        <v>5</v>
      </c>
      <c r="U8" s="467">
        <f t="shared" si="2"/>
        <v>5</v>
      </c>
      <c r="V8" s="467">
        <f t="shared" si="2"/>
        <v>5</v>
      </c>
      <c r="W8" s="467">
        <f t="shared" si="2"/>
        <v>5</v>
      </c>
      <c r="X8" s="467">
        <f t="shared" si="2"/>
        <v>5</v>
      </c>
      <c r="Y8" s="467">
        <f t="shared" si="2"/>
        <v>5</v>
      </c>
      <c r="Z8" s="467">
        <f t="shared" si="2"/>
        <v>5</v>
      </c>
      <c r="AA8" s="467">
        <f t="shared" si="2"/>
        <v>5</v>
      </c>
      <c r="AB8" s="467">
        <f t="shared" si="2"/>
        <v>5</v>
      </c>
      <c r="AC8" s="468">
        <f t="shared" si="2"/>
        <v>5</v>
      </c>
    </row>
    <row r="10" spans="2:30" x14ac:dyDescent="0.25">
      <c r="F10" s="77" t="s">
        <v>394</v>
      </c>
    </row>
    <row r="11" spans="2:30" ht="30" x14ac:dyDescent="0.25">
      <c r="B11" s="100"/>
      <c r="C11" s="154" t="s">
        <v>0</v>
      </c>
      <c r="D11" s="159" t="s">
        <v>11</v>
      </c>
      <c r="E11" s="160" t="s">
        <v>350</v>
      </c>
      <c r="F11" s="156">
        <v>2017</v>
      </c>
      <c r="G11" s="157">
        <v>2018</v>
      </c>
      <c r="H11" s="157">
        <v>2019</v>
      </c>
      <c r="I11" s="157">
        <v>2020</v>
      </c>
      <c r="J11" s="157">
        <v>2021</v>
      </c>
      <c r="K11" s="157">
        <v>2022</v>
      </c>
      <c r="L11" s="157">
        <v>2023</v>
      </c>
      <c r="M11" s="157">
        <v>2024</v>
      </c>
      <c r="N11" s="157">
        <v>2025</v>
      </c>
      <c r="O11" s="157">
        <v>2026</v>
      </c>
      <c r="P11" s="157">
        <v>2027</v>
      </c>
      <c r="Q11" s="157">
        <v>2028</v>
      </c>
      <c r="R11" s="157">
        <v>2029</v>
      </c>
      <c r="S11" s="157">
        <v>2030</v>
      </c>
      <c r="T11" s="157">
        <v>2031</v>
      </c>
      <c r="U11" s="157">
        <v>2032</v>
      </c>
      <c r="V11" s="157">
        <v>2033</v>
      </c>
      <c r="W11" s="157">
        <v>2034</v>
      </c>
      <c r="X11" s="157">
        <v>2035</v>
      </c>
      <c r="Y11" s="157">
        <v>2036</v>
      </c>
      <c r="Z11" s="157">
        <v>2037</v>
      </c>
      <c r="AA11" s="157">
        <v>2038</v>
      </c>
      <c r="AB11" s="157">
        <v>2039</v>
      </c>
      <c r="AC11" s="158">
        <v>2040</v>
      </c>
    </row>
    <row r="12" spans="2:30" x14ac:dyDescent="0.25">
      <c r="B12" s="462"/>
      <c r="C12" s="463" t="str">
        <f>Population!C5</f>
        <v>Andover, City of</v>
      </c>
      <c r="D12" s="471">
        <f>PRCT1</f>
        <v>7.0000000000000007E-2</v>
      </c>
      <c r="E12" s="472">
        <f>VLOOKUP(C12, 'Participation Rate'!$C$11:$D$11, 2, FALSE)</f>
        <v>0.15139882413310923</v>
      </c>
      <c r="F12" s="466">
        <f>$D12*$E12*F8</f>
        <v>0</v>
      </c>
      <c r="G12" s="467">
        <f t="shared" ref="G12:AC12" si="3">$D12*($E12-Base1)*G8</f>
        <v>8.497917689317647E-3</v>
      </c>
      <c r="H12" s="467">
        <f t="shared" si="3"/>
        <v>1.6995835378635294E-2</v>
      </c>
      <c r="I12" s="467">
        <f t="shared" si="3"/>
        <v>2.5493753067952943E-2</v>
      </c>
      <c r="J12" s="467">
        <f t="shared" si="3"/>
        <v>3.3991670757270588E-2</v>
      </c>
      <c r="K12" s="467">
        <f t="shared" si="3"/>
        <v>4.2489588446588233E-2</v>
      </c>
      <c r="L12" s="467">
        <f t="shared" si="3"/>
        <v>4.2489588446588233E-2</v>
      </c>
      <c r="M12" s="467">
        <f t="shared" si="3"/>
        <v>4.2489588446588233E-2</v>
      </c>
      <c r="N12" s="467">
        <f t="shared" si="3"/>
        <v>4.2489588446588233E-2</v>
      </c>
      <c r="O12" s="467">
        <f t="shared" si="3"/>
        <v>4.2489588446588233E-2</v>
      </c>
      <c r="P12" s="467">
        <f t="shared" si="3"/>
        <v>4.2489588446588233E-2</v>
      </c>
      <c r="Q12" s="467">
        <f t="shared" si="3"/>
        <v>4.2489588446588233E-2</v>
      </c>
      <c r="R12" s="467">
        <f t="shared" si="3"/>
        <v>4.2489588446588233E-2</v>
      </c>
      <c r="S12" s="467">
        <f t="shared" si="3"/>
        <v>4.2489588446588233E-2</v>
      </c>
      <c r="T12" s="467">
        <f t="shared" si="3"/>
        <v>4.2489588446588233E-2</v>
      </c>
      <c r="U12" s="467">
        <f t="shared" si="3"/>
        <v>4.2489588446588233E-2</v>
      </c>
      <c r="V12" s="467">
        <f t="shared" si="3"/>
        <v>4.2489588446588233E-2</v>
      </c>
      <c r="W12" s="467">
        <f t="shared" si="3"/>
        <v>4.2489588446588233E-2</v>
      </c>
      <c r="X12" s="467">
        <f t="shared" si="3"/>
        <v>4.2489588446588233E-2</v>
      </c>
      <c r="Y12" s="467">
        <f t="shared" si="3"/>
        <v>4.2489588446588233E-2</v>
      </c>
      <c r="Z12" s="467">
        <f t="shared" si="3"/>
        <v>4.2489588446588233E-2</v>
      </c>
      <c r="AA12" s="467">
        <f t="shared" si="3"/>
        <v>4.2489588446588233E-2</v>
      </c>
      <c r="AB12" s="467">
        <f t="shared" si="3"/>
        <v>4.2489588446588233E-2</v>
      </c>
      <c r="AC12" s="468">
        <f t="shared" si="3"/>
        <v>4.2489588446588233E-2</v>
      </c>
    </row>
    <row r="15" spans="2:30" x14ac:dyDescent="0.25">
      <c r="C15" s="98" t="s">
        <v>376</v>
      </c>
    </row>
    <row r="16" spans="2:30" x14ac:dyDescent="0.25">
      <c r="C16" s="77" t="s">
        <v>395</v>
      </c>
    </row>
    <row r="17" spans="2:35" x14ac:dyDescent="0.25">
      <c r="C17" s="77"/>
    </row>
    <row r="18" spans="2:35" s="99" customFormat="1" x14ac:dyDescent="0.25">
      <c r="F18" s="147" t="s">
        <v>438</v>
      </c>
      <c r="G18" s="162"/>
      <c r="H18" s="162"/>
      <c r="I18" s="162"/>
      <c r="J18" s="162"/>
      <c r="K18" s="162"/>
      <c r="L18" s="162"/>
      <c r="M18" s="162"/>
      <c r="N18" s="162"/>
      <c r="O18" s="162"/>
      <c r="P18" s="162"/>
      <c r="Q18" s="162"/>
      <c r="R18" s="162"/>
      <c r="S18" s="162"/>
      <c r="T18" s="162"/>
      <c r="U18" s="162"/>
      <c r="V18" s="162"/>
      <c r="W18" s="162"/>
      <c r="X18" s="162"/>
      <c r="Y18" s="162"/>
      <c r="Z18" s="162"/>
      <c r="AA18" s="162"/>
      <c r="AB18" s="162"/>
      <c r="AC18" s="163"/>
    </row>
    <row r="19" spans="2:35" s="103" customFormat="1" ht="32.450000000000003" customHeight="1" x14ac:dyDescent="0.25">
      <c r="B19" s="161"/>
      <c r="C19" s="164" t="s">
        <v>0</v>
      </c>
      <c r="D19" s="165"/>
      <c r="E19" s="166"/>
      <c r="F19" s="157">
        <v>2017</v>
      </c>
      <c r="G19" s="157">
        <v>2018</v>
      </c>
      <c r="H19" s="157">
        <v>2019</v>
      </c>
      <c r="I19" s="157">
        <v>2020</v>
      </c>
      <c r="J19" s="157">
        <v>2021</v>
      </c>
      <c r="K19" s="157">
        <v>2022</v>
      </c>
      <c r="L19" s="157">
        <v>2023</v>
      </c>
      <c r="M19" s="157">
        <v>2024</v>
      </c>
      <c r="N19" s="157">
        <v>2025</v>
      </c>
      <c r="O19" s="157">
        <v>2026</v>
      </c>
      <c r="P19" s="157">
        <v>2027</v>
      </c>
      <c r="Q19" s="157">
        <v>2028</v>
      </c>
      <c r="R19" s="157">
        <v>2029</v>
      </c>
      <c r="S19" s="157">
        <v>2030</v>
      </c>
      <c r="T19" s="157">
        <v>2031</v>
      </c>
      <c r="U19" s="157">
        <v>2032</v>
      </c>
      <c r="V19" s="157">
        <v>2033</v>
      </c>
      <c r="W19" s="157">
        <v>2034</v>
      </c>
      <c r="X19" s="157">
        <v>2035</v>
      </c>
      <c r="Y19" s="157">
        <v>2036</v>
      </c>
      <c r="Z19" s="157">
        <v>2037</v>
      </c>
      <c r="AA19" s="157">
        <v>2038</v>
      </c>
      <c r="AB19" s="157">
        <v>2039</v>
      </c>
      <c r="AC19" s="158">
        <v>2040</v>
      </c>
      <c r="AD19" s="117" t="s">
        <v>379</v>
      </c>
      <c r="AE19" s="370" t="s">
        <v>440</v>
      </c>
      <c r="AF19" s="371" t="s">
        <v>439</v>
      </c>
      <c r="AG19" s="367" t="s">
        <v>445</v>
      </c>
      <c r="AI19" s="236"/>
    </row>
    <row r="20" spans="2:35" x14ac:dyDescent="0.25">
      <c r="B20" s="473"/>
      <c r="C20" s="474" t="str">
        <f>Population!C5</f>
        <v>Andover, City of</v>
      </c>
      <c r="D20" s="475"/>
      <c r="E20" s="476"/>
      <c r="F20" s="477">
        <f>Demand!F12</f>
        <v>7604412.2603372829</v>
      </c>
      <c r="G20" s="477">
        <f>Population!I5*Demand!G6*(Demand!$D12*(1-G12))</f>
        <v>7541391.8538828883</v>
      </c>
      <c r="H20" s="477">
        <f>Population!J5*Demand!H6*(Demand!$D12*(1-H12))</f>
        <v>7477564.7317028884</v>
      </c>
      <c r="I20" s="477">
        <f>Population!K5*Demand!I6*(Demand!$D12*(1-I12))</f>
        <v>7412966.3969787257</v>
      </c>
      <c r="J20" s="477">
        <f>Population!L5*Demand!J6*(Demand!$D12*(1-J12))</f>
        <v>7364706.0711720148</v>
      </c>
      <c r="K20" s="477">
        <f>Population!M5*Demand!K6*(Demand!$D12*(1-K12))</f>
        <v>7315104.3801208688</v>
      </c>
      <c r="L20" s="477">
        <f>Population!N5*Demand!L6*(Demand!$D12*(1-L12))</f>
        <v>7329255.8736690925</v>
      </c>
      <c r="M20" s="477">
        <f>Population!O5*Demand!M6*(Demand!$D12*(1-M12))</f>
        <v>7342392.8269083407</v>
      </c>
      <c r="N20" s="477">
        <f>Population!P5*Demand!N6*(Demand!$D12*(1-N12))</f>
        <v>7354534.1154954368</v>
      </c>
      <c r="O20" s="477">
        <f>Population!Q5*Demand!O6*(Demand!$D12*(1-O12))</f>
        <v>7365698.3390280996</v>
      </c>
      <c r="P20" s="477">
        <f>Population!R5*Demand!P6*(Demand!$D12*(1-P12))</f>
        <v>7375903.8246785607</v>
      </c>
      <c r="Q20" s="477">
        <f>Population!S5*Demand!Q6*(Demand!$D12*(1-Q12))</f>
        <v>7385168.6307821088</v>
      </c>
      <c r="R20" s="477">
        <f>Population!T5*Demand!R6*(Demand!$D12*(1-R12))</f>
        <v>7393510.5503811194</v>
      </c>
      <c r="S20" s="477">
        <f>Population!U5*Demand!S6*(Demand!$D12*(1-S12))</f>
        <v>7400947.1147250701</v>
      </c>
      <c r="T20" s="477">
        <f>Population!V5*Demand!T6*(Demand!$D12*(1-T12))</f>
        <v>7397905.3642093325</v>
      </c>
      <c r="U20" s="477">
        <f>Population!W5*Demand!U6*(Demand!$D12*(1-U12))</f>
        <v>7394184.353992437</v>
      </c>
      <c r="V20" s="477">
        <f>Population!X5*Demand!V6*(Demand!$D12*(1-V12))</f>
        <v>7389797.9734434579</v>
      </c>
      <c r="W20" s="477">
        <f>Population!Y5*Demand!W6*(Demand!$D12*(1-W12))</f>
        <v>7384759.9020700604</v>
      </c>
      <c r="X20" s="477">
        <f>Population!Z5*Demand!X6*(Demand!$D12*(1-X12))</f>
        <v>7379083.6123267859</v>
      </c>
      <c r="Y20" s="477">
        <f>Population!AA5*Demand!Y6*(Demand!$D12*(1-Y12))</f>
        <v>7372782.3723881701</v>
      </c>
      <c r="Z20" s="477">
        <f>Population!AB5*Demand!Z6*(Demand!$D12*(1-Z12))</f>
        <v>7365869.2488870937</v>
      </c>
      <c r="AA20" s="477">
        <f>Population!AC5*Demand!AA6*(Demand!$D12*(1-AA12))</f>
        <v>7358357.1096187998</v>
      </c>
      <c r="AB20" s="477">
        <f>Population!AD5*Demand!AB6*(Demand!$D12*(1-AB12))</f>
        <v>7350258.6262109829</v>
      </c>
      <c r="AC20" s="477">
        <f>Population!AE5*Demand!AC6*(Demand!$D12*(1-AC12))</f>
        <v>7341586.2767603612</v>
      </c>
      <c r="AD20" s="478">
        <f>Demand!AC12</f>
        <v>7667369.6579964906</v>
      </c>
      <c r="AE20" s="479">
        <f>(AC20/AD20)-1</f>
        <v>-4.2489588446588344E-2</v>
      </c>
      <c r="AF20" s="369">
        <f>(AD20-AC20)/1000000</f>
        <v>0.32578338123612943</v>
      </c>
      <c r="AG20" s="233">
        <f>AC20-F20</f>
        <v>-262825.98357692175</v>
      </c>
      <c r="AH20" s="234"/>
      <c r="AI20" s="235"/>
    </row>
    <row r="21" spans="2:35" x14ac:dyDescent="0.25">
      <c r="AF21" s="368">
        <f>SUM(AF20:AF20)</f>
        <v>0.32578338123612943</v>
      </c>
    </row>
    <row r="23" spans="2:35" x14ac:dyDescent="0.25">
      <c r="F23" s="170" t="s">
        <v>13</v>
      </c>
      <c r="G23" s="162"/>
      <c r="H23" s="162"/>
      <c r="I23" s="162"/>
      <c r="J23" s="162"/>
      <c r="K23" s="162"/>
      <c r="L23" s="162"/>
      <c r="M23" s="162"/>
      <c r="N23" s="162"/>
      <c r="O23" s="162"/>
      <c r="P23" s="162"/>
      <c r="Q23" s="162"/>
      <c r="R23" s="162"/>
      <c r="S23" s="162"/>
      <c r="T23" s="162"/>
      <c r="U23" s="162"/>
      <c r="V23" s="162"/>
      <c r="W23" s="162"/>
      <c r="X23" s="162"/>
      <c r="Y23" s="162"/>
      <c r="Z23" s="162"/>
      <c r="AA23" s="162"/>
      <c r="AB23" s="162"/>
      <c r="AC23" s="163"/>
    </row>
    <row r="24" spans="2:35" s="103" customFormat="1" x14ac:dyDescent="0.25">
      <c r="B24" s="100"/>
      <c r="C24" s="167" t="s">
        <v>0</v>
      </c>
      <c r="D24" s="168" t="s">
        <v>12</v>
      </c>
      <c r="E24" s="169" t="s">
        <v>10</v>
      </c>
      <c r="F24" s="156">
        <v>2017</v>
      </c>
      <c r="G24" s="157">
        <v>2018</v>
      </c>
      <c r="H24" s="157">
        <v>2019</v>
      </c>
      <c r="I24" s="157">
        <v>2020</v>
      </c>
      <c r="J24" s="157">
        <v>2021</v>
      </c>
      <c r="K24" s="157">
        <v>2022</v>
      </c>
      <c r="L24" s="157">
        <v>2023</v>
      </c>
      <c r="M24" s="157">
        <v>2024</v>
      </c>
      <c r="N24" s="157">
        <v>2025</v>
      </c>
      <c r="O24" s="157">
        <v>2026</v>
      </c>
      <c r="P24" s="157">
        <v>2027</v>
      </c>
      <c r="Q24" s="157">
        <v>2028</v>
      </c>
      <c r="R24" s="157">
        <v>2029</v>
      </c>
      <c r="S24" s="157">
        <v>2030</v>
      </c>
      <c r="T24" s="157">
        <v>2031</v>
      </c>
      <c r="U24" s="157">
        <v>2032</v>
      </c>
      <c r="V24" s="157">
        <v>2033</v>
      </c>
      <c r="W24" s="157">
        <v>2034</v>
      </c>
      <c r="X24" s="157">
        <v>2035</v>
      </c>
      <c r="Y24" s="157">
        <v>2036</v>
      </c>
      <c r="Z24" s="157">
        <v>2037</v>
      </c>
      <c r="AA24" s="157">
        <v>2038</v>
      </c>
      <c r="AB24" s="157">
        <v>2039</v>
      </c>
      <c r="AC24" s="158">
        <v>2040</v>
      </c>
    </row>
    <row r="25" spans="2:35" x14ac:dyDescent="0.25">
      <c r="B25" s="462"/>
      <c r="C25" s="463" t="str">
        <f>C20</f>
        <v>Andover, City of</v>
      </c>
      <c r="D25" s="480">
        <f>VLOOKUP(E12,Cost1,2,FALSE)</f>
        <v>70023.90561997515</v>
      </c>
      <c r="E25" s="481">
        <f>NPV('Community Inputs'!$D$15, Conservation!F25:AC25)</f>
        <v>320688.98384323186</v>
      </c>
      <c r="F25" s="482" t="str">
        <f t="shared" ref="F25:AC25" si="4">IF(F4=1,$D25,"")</f>
        <v/>
      </c>
      <c r="G25" s="483">
        <f t="shared" si="4"/>
        <v>70023.90561997515</v>
      </c>
      <c r="H25" s="483">
        <f t="shared" si="4"/>
        <v>70023.90561997515</v>
      </c>
      <c r="I25" s="483">
        <f t="shared" si="4"/>
        <v>70023.90561997515</v>
      </c>
      <c r="J25" s="483">
        <f t="shared" si="4"/>
        <v>70023.90561997515</v>
      </c>
      <c r="K25" s="483">
        <f t="shared" si="4"/>
        <v>70023.90561997515</v>
      </c>
      <c r="L25" s="483" t="str">
        <f t="shared" si="4"/>
        <v/>
      </c>
      <c r="M25" s="483" t="str">
        <f t="shared" si="4"/>
        <v/>
      </c>
      <c r="N25" s="483" t="str">
        <f t="shared" si="4"/>
        <v/>
      </c>
      <c r="O25" s="483" t="str">
        <f t="shared" si="4"/>
        <v/>
      </c>
      <c r="P25" s="483" t="str">
        <f t="shared" si="4"/>
        <v/>
      </c>
      <c r="Q25" s="483" t="str">
        <f t="shared" si="4"/>
        <v/>
      </c>
      <c r="R25" s="483" t="str">
        <f t="shared" si="4"/>
        <v/>
      </c>
      <c r="S25" s="483" t="str">
        <f t="shared" si="4"/>
        <v/>
      </c>
      <c r="T25" s="483" t="str">
        <f t="shared" si="4"/>
        <v/>
      </c>
      <c r="U25" s="483" t="str">
        <f t="shared" si="4"/>
        <v/>
      </c>
      <c r="V25" s="483" t="str">
        <f t="shared" si="4"/>
        <v/>
      </c>
      <c r="W25" s="483" t="str">
        <f t="shared" si="4"/>
        <v/>
      </c>
      <c r="X25" s="483" t="str">
        <f t="shared" si="4"/>
        <v/>
      </c>
      <c r="Y25" s="483" t="str">
        <f t="shared" si="4"/>
        <v/>
      </c>
      <c r="Z25" s="483" t="str">
        <f t="shared" si="4"/>
        <v/>
      </c>
      <c r="AA25" s="483" t="str">
        <f t="shared" si="4"/>
        <v/>
      </c>
      <c r="AB25" s="483" t="str">
        <f t="shared" si="4"/>
        <v/>
      </c>
      <c r="AC25" s="484" t="str">
        <f t="shared" si="4"/>
        <v/>
      </c>
    </row>
    <row r="28" spans="2:35" x14ac:dyDescent="0.25">
      <c r="F28" s="372" t="s">
        <v>441</v>
      </c>
      <c r="G28" s="162"/>
      <c r="H28" s="162"/>
      <c r="I28" s="162"/>
      <c r="J28" s="162"/>
      <c r="K28" s="162"/>
      <c r="L28" s="162"/>
      <c r="M28" s="162"/>
      <c r="N28" s="162"/>
      <c r="O28" s="162"/>
      <c r="P28" s="162"/>
      <c r="Q28" s="162"/>
      <c r="R28" s="162"/>
      <c r="S28" s="162"/>
      <c r="T28" s="162"/>
      <c r="U28" s="162"/>
      <c r="V28" s="162"/>
      <c r="W28" s="162"/>
      <c r="X28" s="162"/>
      <c r="Y28" s="162"/>
      <c r="Z28" s="162"/>
      <c r="AA28" s="162"/>
      <c r="AB28" s="162"/>
      <c r="AC28" s="163"/>
    </row>
    <row r="29" spans="2:35" ht="30" x14ac:dyDescent="0.25">
      <c r="B29" s="100"/>
      <c r="C29" s="167" t="s">
        <v>0</v>
      </c>
      <c r="D29" s="121" t="s">
        <v>443</v>
      </c>
      <c r="E29" s="151" t="s">
        <v>442</v>
      </c>
      <c r="F29" s="156">
        <v>2017</v>
      </c>
      <c r="G29" s="157">
        <v>2018</v>
      </c>
      <c r="H29" s="157">
        <v>2019</v>
      </c>
      <c r="I29" s="157">
        <v>2020</v>
      </c>
      <c r="J29" s="157">
        <v>2021</v>
      </c>
      <c r="K29" s="157">
        <v>2022</v>
      </c>
      <c r="L29" s="157">
        <v>2023</v>
      </c>
      <c r="M29" s="157">
        <v>2024</v>
      </c>
      <c r="N29" s="157">
        <v>2025</v>
      </c>
      <c r="O29" s="157">
        <v>2026</v>
      </c>
      <c r="P29" s="157">
        <v>2027</v>
      </c>
      <c r="Q29" s="157">
        <v>2028</v>
      </c>
      <c r="R29" s="157">
        <v>2029</v>
      </c>
      <c r="S29" s="157">
        <v>2030</v>
      </c>
      <c r="T29" s="157">
        <v>2031</v>
      </c>
      <c r="U29" s="157">
        <v>2032</v>
      </c>
      <c r="V29" s="157">
        <v>2033</v>
      </c>
      <c r="W29" s="157">
        <v>2034</v>
      </c>
      <c r="X29" s="157">
        <v>2035</v>
      </c>
      <c r="Y29" s="157">
        <v>2036</v>
      </c>
      <c r="Z29" s="157">
        <v>2037</v>
      </c>
      <c r="AA29" s="157">
        <v>2038</v>
      </c>
      <c r="AB29" s="157">
        <v>2039</v>
      </c>
      <c r="AC29" s="158">
        <v>2040</v>
      </c>
    </row>
    <row r="30" spans="2:35" x14ac:dyDescent="0.25">
      <c r="B30" s="462"/>
      <c r="C30" s="463" t="str">
        <f>C25</f>
        <v>Andover, City of</v>
      </c>
      <c r="D30" s="480">
        <f>E25/(E30/1000)</f>
        <v>69.497899158409538</v>
      </c>
      <c r="E30" s="485">
        <f>NPV('Community Inputs'!$D$15, Conservation!F30:AC30)</f>
        <v>4614369.4662233125</v>
      </c>
      <c r="F30" s="486">
        <f>Demand!F12-F20</f>
        <v>0</v>
      </c>
      <c r="G30" s="477">
        <f>Demand!G12-G20</f>
        <v>64635.39349088911</v>
      </c>
      <c r="H30" s="477">
        <f>Demand!H12-H20</f>
        <v>129284.76174062118</v>
      </c>
      <c r="I30" s="477">
        <f>Demand!I12-I20</f>
        <v>193928.29488838278</v>
      </c>
      <c r="J30" s="477">
        <f>Demand!J12-J20</f>
        <v>259147.52121402044</v>
      </c>
      <c r="K30" s="477">
        <f>Demand!K12-K20</f>
        <v>324608.24530452862</v>
      </c>
      <c r="L30" s="477">
        <f>Demand!L12-L20</f>
        <v>325236.21877564024</v>
      </c>
      <c r="M30" s="477">
        <f>Demand!M12-M20</f>
        <v>325819.17195279896</v>
      </c>
      <c r="N30" s="477">
        <f>Demand!N12-N20</f>
        <v>326357.94244453777</v>
      </c>
      <c r="O30" s="477">
        <f>Demand!O12-O20</f>
        <v>326853.3556092456</v>
      </c>
      <c r="P30" s="477">
        <f>Demand!P12-P20</f>
        <v>327306.2247164147</v>
      </c>
      <c r="Q30" s="477">
        <f>Demand!Q12-Q20</f>
        <v>327717.35110587999</v>
      </c>
      <c r="R30" s="477">
        <f>Demand!R12-R20</f>
        <v>328087.52434508409</v>
      </c>
      <c r="S30" s="477">
        <f>Demand!S12-S20</f>
        <v>328417.52238439396</v>
      </c>
      <c r="T30" s="477">
        <f>Demand!T12-T20</f>
        <v>328282.54450215772</v>
      </c>
      <c r="U30" s="477">
        <f>Demand!U12-U20</f>
        <v>328117.42442532629</v>
      </c>
      <c r="V30" s="477">
        <f>Demand!V12-V20</f>
        <v>327922.77849558368</v>
      </c>
      <c r="W30" s="477">
        <f>Demand!W12-W20</f>
        <v>327699.21374199167</v>
      </c>
      <c r="X30" s="477">
        <f>Demand!X12-X20</f>
        <v>327447.32800562214</v>
      </c>
      <c r="Y30" s="477">
        <f>Demand!Y12-Y20</f>
        <v>327167.71006260626</v>
      </c>
      <c r="Z30" s="477">
        <f>Demand!Z12-Z20</f>
        <v>326860.9397456497</v>
      </c>
      <c r="AA30" s="477">
        <f>Demand!AA12-AA20</f>
        <v>326527.58806402609</v>
      </c>
      <c r="AB30" s="477">
        <f>Demand!AB12-AB20</f>
        <v>326168.21732206177</v>
      </c>
      <c r="AC30" s="487">
        <f>Demand!AC12-AC20</f>
        <v>325783.38123612944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B1:AG9"/>
  <sheetViews>
    <sheetView workbookViewId="0">
      <selection activeCell="C13" sqref="C13"/>
    </sheetView>
  </sheetViews>
  <sheetFormatPr defaultColWidth="8.85546875" defaultRowHeight="15" x14ac:dyDescent="0.25"/>
  <cols>
    <col min="1" max="1" width="2.42578125" style="69" customWidth="1"/>
    <col min="2" max="2" width="4.42578125" style="69" customWidth="1"/>
    <col min="3" max="3" width="36.7109375" style="69" bestFit="1" customWidth="1"/>
    <col min="4" max="4" width="15.42578125" style="69" customWidth="1"/>
    <col min="5" max="5" width="12.85546875" style="69" customWidth="1"/>
    <col min="6" max="6" width="16.28515625" style="69" bestFit="1" customWidth="1"/>
    <col min="7" max="7" width="10.42578125" style="69" customWidth="1"/>
    <col min="8" max="8" width="13.28515625" style="69" customWidth="1"/>
    <col min="9" max="9" width="11" style="69" bestFit="1" customWidth="1"/>
    <col min="10" max="11" width="9.5703125" style="69" bestFit="1" customWidth="1"/>
    <col min="12" max="13" width="11" style="69" bestFit="1" customWidth="1"/>
    <col min="14" max="15" width="9.5703125" style="69" bestFit="1" customWidth="1"/>
    <col min="16" max="21" width="11" style="69" bestFit="1" customWidth="1"/>
    <col min="22" max="22" width="11.42578125" style="69" customWidth="1"/>
    <col min="23" max="23" width="10" style="69" customWidth="1"/>
    <col min="24" max="28" width="11" style="69" bestFit="1" customWidth="1"/>
    <col min="29" max="29" width="12.28515625" style="69" customWidth="1"/>
    <col min="30" max="31" width="11" style="69" bestFit="1" customWidth="1"/>
    <col min="32" max="16384" width="8.85546875" style="69"/>
  </cols>
  <sheetData>
    <row r="1" spans="2:33" x14ac:dyDescent="0.25">
      <c r="G1" s="75"/>
    </row>
    <row r="2" spans="2:33" x14ac:dyDescent="0.25">
      <c r="G2" s="147" t="s">
        <v>446</v>
      </c>
      <c r="H2" s="179"/>
      <c r="I2" s="179"/>
      <c r="J2" s="179"/>
      <c r="K2" s="179"/>
      <c r="L2" s="179"/>
      <c r="M2" s="179"/>
      <c r="N2" s="179"/>
      <c r="O2" s="179"/>
      <c r="P2" s="179"/>
      <c r="Q2" s="179"/>
      <c r="R2" s="179"/>
      <c r="S2" s="179"/>
      <c r="T2" s="179"/>
      <c r="U2" s="179"/>
      <c r="V2" s="179"/>
      <c r="W2" s="179"/>
      <c r="X2" s="179"/>
      <c r="Y2" s="179"/>
      <c r="Z2" s="179"/>
      <c r="AA2" s="179"/>
      <c r="AB2" s="179"/>
      <c r="AC2" s="179"/>
      <c r="AD2" s="180"/>
    </row>
    <row r="3" spans="2:33" ht="45" x14ac:dyDescent="0.25">
      <c r="B3" s="74"/>
      <c r="C3" s="171" t="s">
        <v>0</v>
      </c>
      <c r="D3" s="121" t="s">
        <v>369</v>
      </c>
      <c r="E3" s="228" t="s">
        <v>427</v>
      </c>
      <c r="F3" s="121" t="s">
        <v>420</v>
      </c>
      <c r="G3" s="177">
        <v>2017</v>
      </c>
      <c r="H3" s="177">
        <v>2018</v>
      </c>
      <c r="I3" s="177">
        <v>2019</v>
      </c>
      <c r="J3" s="177">
        <v>2020</v>
      </c>
      <c r="K3" s="177">
        <v>2021</v>
      </c>
      <c r="L3" s="177">
        <v>2022</v>
      </c>
      <c r="M3" s="177">
        <v>2023</v>
      </c>
      <c r="N3" s="177">
        <v>2024</v>
      </c>
      <c r="O3" s="177">
        <v>2025</v>
      </c>
      <c r="P3" s="177">
        <v>2026</v>
      </c>
      <c r="Q3" s="177">
        <v>2027</v>
      </c>
      <c r="R3" s="177">
        <v>2028</v>
      </c>
      <c r="S3" s="177">
        <v>2029</v>
      </c>
      <c r="T3" s="177">
        <v>2030</v>
      </c>
      <c r="U3" s="177">
        <v>2031</v>
      </c>
      <c r="V3" s="177">
        <v>2032</v>
      </c>
      <c r="W3" s="177">
        <v>2033</v>
      </c>
      <c r="X3" s="177">
        <v>2034</v>
      </c>
      <c r="Y3" s="177">
        <v>2035</v>
      </c>
      <c r="Z3" s="177">
        <v>2036</v>
      </c>
      <c r="AA3" s="177">
        <v>2037</v>
      </c>
      <c r="AB3" s="177">
        <v>2038</v>
      </c>
      <c r="AC3" s="177">
        <v>2039</v>
      </c>
      <c r="AD3" s="178">
        <v>2040</v>
      </c>
      <c r="AE3" s="105" t="s">
        <v>380</v>
      </c>
      <c r="AF3" s="107" t="s">
        <v>385</v>
      </c>
    </row>
    <row r="4" spans="2:33" x14ac:dyDescent="0.25">
      <c r="B4" s="379"/>
      <c r="C4" s="488" t="str">
        <f>Population!C5</f>
        <v>Andover, City of</v>
      </c>
      <c r="D4" s="489">
        <f>'Wells and Costs'!D4</f>
        <v>6</v>
      </c>
      <c r="E4" s="490">
        <f>'Wells and Costs'!E4</f>
        <v>1520882.4520674567</v>
      </c>
      <c r="F4" s="453">
        <f>'Community Inputs'!I11</f>
        <v>0.9</v>
      </c>
      <c r="G4" s="491">
        <v>0</v>
      </c>
      <c r="H4" s="455">
        <f>ROUNDUP(IF((Conservation!G20-(($E4*($D4+G4-1))*$F4))/$E4 &lt; 0, 0, (Conservation!G20-(($E4*($D4+G4-1))*$F4))/$E4), 0) + G4</f>
        <v>1</v>
      </c>
      <c r="I4" s="455">
        <f>ROUNDUP(IF((Conservation!H20-(($E4*($D4+H4-1))*$F4))/$E4 &lt; 0, 0, (Conservation!H20-(($E4*($D4+H4-1))*$F4))/$E4), 0) + H4</f>
        <v>1</v>
      </c>
      <c r="J4" s="455">
        <f>ROUNDUP(IF((Conservation!I20-(($E4*($D4+I4-1))*$F4))/$E4 &lt; 0, 0, (Conservation!I20-(($E4*($D4+I4-1))*$F4))/$E4), 0) + I4</f>
        <v>1</v>
      </c>
      <c r="K4" s="455">
        <f>ROUNDUP(IF((Conservation!J20-(($E4*($D4+J4-1))*$F4))/$E4 &lt; 0, 0, (Conservation!J20-(($E4*($D4+J4-1))*$F4))/$E4), 0) + J4</f>
        <v>1</v>
      </c>
      <c r="L4" s="455">
        <f>ROUNDUP(IF((Conservation!K20-(($E4*($D4+K4-1))*$F4))/$E4 &lt; 0, 0, (Conservation!K20-(($E4*($D4+K4-1))*$F4))/$E4), 0) + K4</f>
        <v>1</v>
      </c>
      <c r="M4" s="455">
        <f>ROUNDUP(IF((Conservation!L20-(($E4*($D4+L4-1))*$F4))/$E4 &lt; 0, 0, (Conservation!L20-(($E4*($D4+L4-1))*$F4))/$E4), 0) + L4</f>
        <v>1</v>
      </c>
      <c r="N4" s="455">
        <f>ROUNDUP(IF((Conservation!M20-(($E4*($D4+M4-1))*$F4))/$E4 &lt; 0, 0, (Conservation!M20-(($E4*($D4+M4-1))*$F4))/$E4), 0) + M4</f>
        <v>1</v>
      </c>
      <c r="O4" s="455">
        <f>ROUNDUP(IF((Conservation!N20-(($E4*($D4+N4-1))*$F4))/$E4 &lt; 0, 0, (Conservation!N20-(($E4*($D4+N4-1))*$F4))/$E4), 0) + N4</f>
        <v>1</v>
      </c>
      <c r="P4" s="455">
        <f>ROUNDUP(IF((Conservation!O20-(($E4*($D4+O4-1))*$F4))/$E4 &lt; 0, 0, (Conservation!O20-(($E4*($D4+O4-1))*$F4))/$E4), 0) + O4</f>
        <v>1</v>
      </c>
      <c r="Q4" s="455">
        <f>ROUNDUP(IF((Conservation!P20-(($E4*($D4+P4-1))*$F4))/$E4 &lt; 0, 0, (Conservation!P20-(($E4*($D4+P4-1))*$F4))/$E4), 0) + P4</f>
        <v>1</v>
      </c>
      <c r="R4" s="455">
        <f>ROUNDUP(IF((Conservation!Q20-(($E4*($D4+Q4-1))*$F4))/$E4 &lt; 0, 0, (Conservation!Q20-(($E4*($D4+Q4-1))*$F4))/$E4), 0) + Q4</f>
        <v>1</v>
      </c>
      <c r="S4" s="455">
        <f>ROUNDUP(IF((Conservation!R20-(($E4*($D4+R4-1))*$F4))/$E4 &lt; 0, 0, (Conservation!R20-(($E4*($D4+R4-1))*$F4))/$E4), 0) + R4</f>
        <v>1</v>
      </c>
      <c r="T4" s="455">
        <f>ROUNDUP(IF((Conservation!S20-(($E4*($D4+S4-1))*$F4))/$E4 &lt; 0, 0, (Conservation!S20-(($E4*($D4+S4-1))*$F4))/$E4), 0) + S4</f>
        <v>1</v>
      </c>
      <c r="U4" s="455">
        <f>ROUNDUP(IF((Conservation!T20-(($E4*($D4+T4-1))*$F4))/$E4 &lt; 0, 0, (Conservation!T20-(($E4*($D4+T4-1))*$F4))/$E4), 0) + T4</f>
        <v>1</v>
      </c>
      <c r="V4" s="455">
        <f>ROUNDUP(IF((Conservation!U20-(($E4*($D4+U4-1))*$F4))/$E4 &lt; 0, 0, (Conservation!U20-(($E4*($D4+U4-1))*$F4))/$E4), 0) + U4</f>
        <v>1</v>
      </c>
      <c r="W4" s="455">
        <f>ROUNDUP(IF((Conservation!V20-(($E4*($D4+V4-1))*$F4))/$E4 &lt; 0, 0, (Conservation!V20-(($E4*($D4+V4-1))*$F4))/$E4), 0) + V4</f>
        <v>1</v>
      </c>
      <c r="X4" s="455">
        <f>ROUNDUP(IF((Conservation!W20-(($E4*($D4+W4-1))*$F4))/$E4 &lt; 0, 0, (Conservation!W20-(($E4*($D4+W4-1))*$F4))/$E4), 0) + W4</f>
        <v>1</v>
      </c>
      <c r="Y4" s="455">
        <f>ROUNDUP(IF((Conservation!X20-(($E4*($D4+X4-1))*$F4))/$E4 &lt; 0, 0, (Conservation!X20-(($E4*($D4+X4-1))*$F4))/$E4), 0) + X4</f>
        <v>1</v>
      </c>
      <c r="Z4" s="455">
        <f>ROUNDUP(IF((Conservation!Y20-(($E4*($D4+Y4-1))*$F4))/$E4 &lt; 0, 0, (Conservation!Y20-(($E4*($D4+Y4-1))*$F4))/$E4), 0) + Y4</f>
        <v>1</v>
      </c>
      <c r="AA4" s="455">
        <f>ROUNDUP(IF((Conservation!Z20-(($E4*($D4+Z4-1))*$F4))/$E4 &lt; 0, 0, (Conservation!Z20-(($E4*($D4+Z4-1))*$F4))/$E4), 0) + Z4</f>
        <v>1</v>
      </c>
      <c r="AB4" s="455">
        <f>ROUNDUP(IF((Conservation!AA20-(($E4*($D4+AA4-1))*$F4))/$E4 &lt; 0, 0, (Conservation!AA20-(($E4*($D4+AA4-1))*$F4))/$E4), 0) + AA4</f>
        <v>1</v>
      </c>
      <c r="AC4" s="455">
        <f>ROUNDUP(IF((Conservation!AB20-(($E4*($D4+AB4-1))*$F4))/$E4 &lt; 0, 0, (Conservation!AB20-(($E4*($D4+AB4-1))*$F4))/$E4), 0) + AB4</f>
        <v>1</v>
      </c>
      <c r="AD4" s="456">
        <f>ROUNDUP(IF((Conservation!AC20-(($E4*($D4+AC4-1))*$F4))/$E4 &lt; 0, 0, (Conservation!AC20-(($E4*($D4+AC4-1))*$F4))/$E4), 0) + AC4</f>
        <v>1</v>
      </c>
      <c r="AE4" s="106">
        <f>'Wells and Costs'!AD4</f>
        <v>1</v>
      </c>
      <c r="AF4" s="108">
        <f>AE4-AD4</f>
        <v>0</v>
      </c>
      <c r="AG4" s="237"/>
    </row>
    <row r="8" spans="2:33" x14ac:dyDescent="0.25">
      <c r="B8" s="74"/>
      <c r="C8" s="172" t="s">
        <v>0</v>
      </c>
      <c r="D8" s="173" t="s">
        <v>8</v>
      </c>
      <c r="E8" s="174" t="s">
        <v>9</v>
      </c>
      <c r="F8" s="175" t="s">
        <v>10</v>
      </c>
      <c r="G8" s="176">
        <v>2017</v>
      </c>
      <c r="H8" s="177">
        <v>2018</v>
      </c>
      <c r="I8" s="177">
        <v>2019</v>
      </c>
      <c r="J8" s="177">
        <v>2020</v>
      </c>
      <c r="K8" s="177">
        <v>2021</v>
      </c>
      <c r="L8" s="177">
        <v>2022</v>
      </c>
      <c r="M8" s="177">
        <v>2023</v>
      </c>
      <c r="N8" s="177">
        <v>2024</v>
      </c>
      <c r="O8" s="177">
        <v>2025</v>
      </c>
      <c r="P8" s="177">
        <v>2026</v>
      </c>
      <c r="Q8" s="177">
        <v>2027</v>
      </c>
      <c r="R8" s="177">
        <v>2028</v>
      </c>
      <c r="S8" s="177">
        <v>2029</v>
      </c>
      <c r="T8" s="177">
        <v>2030</v>
      </c>
      <c r="U8" s="177">
        <v>2031</v>
      </c>
      <c r="V8" s="177">
        <v>2032</v>
      </c>
      <c r="W8" s="177">
        <v>2033</v>
      </c>
      <c r="X8" s="177">
        <v>2034</v>
      </c>
      <c r="Y8" s="177">
        <v>2035</v>
      </c>
      <c r="Z8" s="177">
        <v>2036</v>
      </c>
      <c r="AA8" s="177">
        <v>2037</v>
      </c>
      <c r="AB8" s="177">
        <v>2038</v>
      </c>
      <c r="AC8" s="177">
        <v>2039</v>
      </c>
      <c r="AD8" s="178">
        <v>2040</v>
      </c>
    </row>
    <row r="9" spans="2:33" x14ac:dyDescent="0.25">
      <c r="B9" s="379"/>
      <c r="C9" s="488" t="str">
        <f>Population!C5</f>
        <v>Andover, City of</v>
      </c>
      <c r="D9" s="492">
        <f>'Wells and Costs'!D9</f>
        <v>500000</v>
      </c>
      <c r="E9" s="493">
        <f>'Wells and Costs'!E9</f>
        <v>50000</v>
      </c>
      <c r="F9" s="494">
        <f>NPV('Community Inputs'!$D$15, 'Wells with Cons &amp; Costs'!G9:AD9)</f>
        <v>1269531.3713473063</v>
      </c>
      <c r="G9" s="495">
        <v>0</v>
      </c>
      <c r="H9" s="496">
        <f t="shared" ref="H9:AD9" si="0">IF(H4=G4,$E9*H4,($D9*(H4-G4)+($E9*H4)))</f>
        <v>550000</v>
      </c>
      <c r="I9" s="496">
        <f t="shared" si="0"/>
        <v>50000</v>
      </c>
      <c r="J9" s="496">
        <f t="shared" si="0"/>
        <v>50000</v>
      </c>
      <c r="K9" s="496">
        <f t="shared" si="0"/>
        <v>50000</v>
      </c>
      <c r="L9" s="496">
        <f t="shared" si="0"/>
        <v>50000</v>
      </c>
      <c r="M9" s="496">
        <f t="shared" si="0"/>
        <v>50000</v>
      </c>
      <c r="N9" s="496">
        <f t="shared" si="0"/>
        <v>50000</v>
      </c>
      <c r="O9" s="496">
        <f t="shared" si="0"/>
        <v>50000</v>
      </c>
      <c r="P9" s="496">
        <f t="shared" si="0"/>
        <v>50000</v>
      </c>
      <c r="Q9" s="496">
        <f t="shared" si="0"/>
        <v>50000</v>
      </c>
      <c r="R9" s="496">
        <f t="shared" si="0"/>
        <v>50000</v>
      </c>
      <c r="S9" s="496">
        <f t="shared" si="0"/>
        <v>50000</v>
      </c>
      <c r="T9" s="496">
        <f t="shared" si="0"/>
        <v>50000</v>
      </c>
      <c r="U9" s="496">
        <f t="shared" si="0"/>
        <v>50000</v>
      </c>
      <c r="V9" s="496">
        <f t="shared" si="0"/>
        <v>50000</v>
      </c>
      <c r="W9" s="496">
        <f t="shared" si="0"/>
        <v>50000</v>
      </c>
      <c r="X9" s="496">
        <f t="shared" si="0"/>
        <v>50000</v>
      </c>
      <c r="Y9" s="496">
        <f t="shared" si="0"/>
        <v>50000</v>
      </c>
      <c r="Z9" s="496">
        <f t="shared" si="0"/>
        <v>50000</v>
      </c>
      <c r="AA9" s="496">
        <f t="shared" si="0"/>
        <v>50000</v>
      </c>
      <c r="AB9" s="496">
        <f t="shared" si="0"/>
        <v>50000</v>
      </c>
      <c r="AC9" s="496">
        <f t="shared" si="0"/>
        <v>50000</v>
      </c>
      <c r="AD9" s="497">
        <f t="shared" si="0"/>
        <v>50000</v>
      </c>
      <c r="AF9" s="7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W104"/>
  <sheetViews>
    <sheetView workbookViewId="0">
      <selection activeCell="H9" sqref="H9"/>
    </sheetView>
  </sheetViews>
  <sheetFormatPr defaultColWidth="8.85546875" defaultRowHeight="15" x14ac:dyDescent="0.25"/>
  <cols>
    <col min="1" max="1" width="2.28515625" style="4" customWidth="1"/>
    <col min="2" max="2" width="9.7109375" style="4" bestFit="1" customWidth="1"/>
    <col min="3" max="3" width="41.85546875" style="4" bestFit="1" customWidth="1"/>
    <col min="4" max="4" width="18" style="4" bestFit="1" customWidth="1"/>
    <col min="5" max="5" width="25" style="4" bestFit="1" customWidth="1"/>
    <col min="6" max="6" width="20.42578125" style="4" bestFit="1" customWidth="1"/>
    <col min="7" max="7" width="18.5703125" style="4" bestFit="1" customWidth="1"/>
    <col min="8" max="8" width="28.7109375" style="4" customWidth="1"/>
    <col min="9" max="12" width="8.85546875" style="4"/>
    <col min="13" max="13" width="12.140625" style="4" bestFit="1" customWidth="1"/>
    <col min="14" max="14" width="17" style="4" bestFit="1" customWidth="1"/>
    <col min="15" max="15" width="13.42578125" style="4" customWidth="1"/>
    <col min="16" max="16" width="13.28515625" style="4" customWidth="1"/>
    <col min="17" max="20" width="8.85546875" style="4"/>
    <col min="21" max="21" width="9.7109375" style="4" customWidth="1"/>
    <col min="22" max="22" width="8.85546875" style="4"/>
    <col min="23" max="23" width="14.85546875" style="4" customWidth="1"/>
    <col min="24" max="16384" width="8.85546875" style="4"/>
  </cols>
  <sheetData>
    <row r="1" spans="2:23" x14ac:dyDescent="0.25">
      <c r="C1" s="4">
        <v>1</v>
      </c>
      <c r="D1" s="4">
        <v>2</v>
      </c>
      <c r="E1" s="4">
        <v>3</v>
      </c>
      <c r="F1" s="77">
        <v>4</v>
      </c>
      <c r="G1" s="4">
        <v>5</v>
      </c>
      <c r="H1" s="4">
        <v>6</v>
      </c>
      <c r="I1" s="4">
        <v>7</v>
      </c>
      <c r="J1" s="77">
        <v>8</v>
      </c>
      <c r="K1" s="4">
        <v>9</v>
      </c>
      <c r="L1" s="4">
        <v>10</v>
      </c>
      <c r="M1" s="4">
        <v>11</v>
      </c>
      <c r="N1" s="77">
        <v>12</v>
      </c>
      <c r="O1" s="4">
        <v>13</v>
      </c>
      <c r="P1" s="4">
        <v>14</v>
      </c>
      <c r="Q1" s="4">
        <v>15</v>
      </c>
      <c r="R1" s="77">
        <v>16</v>
      </c>
      <c r="S1" s="4">
        <v>17</v>
      </c>
      <c r="T1" s="4">
        <v>18</v>
      </c>
      <c r="U1" s="77">
        <v>19</v>
      </c>
    </row>
    <row r="2" spans="2:23" ht="15.75" thickBot="1" x14ac:dyDescent="0.3"/>
    <row r="3" spans="2:23" ht="15.75" thickBot="1" x14ac:dyDescent="0.3">
      <c r="B3" s="585" t="s">
        <v>27</v>
      </c>
      <c r="C3" s="510"/>
      <c r="D3" s="510"/>
      <c r="E3" s="510"/>
      <c r="F3" s="510"/>
      <c r="G3" s="511"/>
      <c r="H3" s="585" t="s">
        <v>28</v>
      </c>
      <c r="I3" s="586"/>
      <c r="J3" s="586"/>
      <c r="K3" s="586"/>
      <c r="L3" s="586"/>
      <c r="M3" s="586"/>
      <c r="N3" s="587"/>
    </row>
    <row r="4" spans="2:23" ht="15.75" thickBot="1" x14ac:dyDescent="0.3">
      <c r="B4" s="5"/>
      <c r="C4" s="6"/>
      <c r="D4" s="6"/>
      <c r="H4" s="7"/>
      <c r="I4" s="588" t="s">
        <v>1</v>
      </c>
      <c r="J4" s="588"/>
      <c r="K4" s="588"/>
      <c r="L4" s="589"/>
      <c r="O4" s="8" t="s">
        <v>257</v>
      </c>
      <c r="P4" s="8"/>
      <c r="Q4" s="8"/>
    </row>
    <row r="5" spans="2:23" ht="75" x14ac:dyDescent="0.25">
      <c r="B5" s="9" t="s">
        <v>33</v>
      </c>
      <c r="C5" s="10" t="s">
        <v>34</v>
      </c>
      <c r="D5" s="11" t="s">
        <v>35</v>
      </c>
      <c r="E5" s="512" t="s">
        <v>29</v>
      </c>
      <c r="F5" s="512" t="s">
        <v>30</v>
      </c>
      <c r="G5" s="513" t="s">
        <v>6</v>
      </c>
      <c r="H5" s="56" t="s">
        <v>36</v>
      </c>
      <c r="I5" s="57">
        <v>2010</v>
      </c>
      <c r="J5" s="57">
        <v>2020</v>
      </c>
      <c r="K5" s="57">
        <v>2030</v>
      </c>
      <c r="L5" s="58">
        <v>2040</v>
      </c>
      <c r="M5" s="590" t="s">
        <v>31</v>
      </c>
      <c r="N5" s="514" t="s">
        <v>32</v>
      </c>
      <c r="O5" s="10" t="s">
        <v>258</v>
      </c>
      <c r="P5" s="10" t="s">
        <v>259</v>
      </c>
      <c r="Q5" s="10" t="s">
        <v>7</v>
      </c>
      <c r="R5" s="66" t="s">
        <v>323</v>
      </c>
      <c r="S5" s="89" t="s">
        <v>372</v>
      </c>
      <c r="T5" s="90" t="s">
        <v>374</v>
      </c>
      <c r="U5" s="89" t="s">
        <v>375</v>
      </c>
      <c r="W5" s="202" t="s">
        <v>361</v>
      </c>
    </row>
    <row r="6" spans="2:23" x14ac:dyDescent="0.25">
      <c r="B6" s="5" t="s">
        <v>37</v>
      </c>
      <c r="C6" s="6" t="s">
        <v>2</v>
      </c>
      <c r="D6" s="12" t="s">
        <v>38</v>
      </c>
      <c r="E6" s="13">
        <v>19572</v>
      </c>
      <c r="F6" s="14">
        <v>0.88305171785505654</v>
      </c>
      <c r="G6" s="15">
        <v>107.59265402909945</v>
      </c>
      <c r="H6" s="5" t="s">
        <v>39</v>
      </c>
      <c r="I6" s="16">
        <v>30598</v>
      </c>
      <c r="J6" s="16">
        <v>34000</v>
      </c>
      <c r="K6" s="16">
        <v>38200</v>
      </c>
      <c r="L6" s="17">
        <v>41900</v>
      </c>
      <c r="M6" s="18">
        <v>0.36937054709458139</v>
      </c>
      <c r="N6" s="25">
        <v>11302</v>
      </c>
      <c r="O6" s="19">
        <v>166424705.88235295</v>
      </c>
      <c r="P6" s="19">
        <v>40528386.554621853</v>
      </c>
      <c r="Q6" s="20">
        <v>4.1063738290705256</v>
      </c>
      <c r="R6" s="63">
        <v>3262</v>
      </c>
      <c r="S6" s="96">
        <v>6</v>
      </c>
      <c r="T6" s="91">
        <v>0.52716504388708085</v>
      </c>
      <c r="U6" s="92">
        <v>3.1187442666394865</v>
      </c>
      <c r="W6" s="199" t="s">
        <v>362</v>
      </c>
    </row>
    <row r="7" spans="2:23" x14ac:dyDescent="0.25">
      <c r="B7" s="5" t="s">
        <v>74</v>
      </c>
      <c r="C7" s="6" t="s">
        <v>332</v>
      </c>
      <c r="D7" s="12" t="s">
        <v>38</v>
      </c>
      <c r="E7" s="13">
        <v>17672.5</v>
      </c>
      <c r="F7" s="14">
        <v>0.6236926378889377</v>
      </c>
      <c r="G7" s="15">
        <v>65.932681687553412</v>
      </c>
      <c r="H7" s="27" t="s">
        <v>38</v>
      </c>
      <c r="I7" s="22">
        <v>17142</v>
      </c>
      <c r="J7" s="23">
        <v>18700</v>
      </c>
      <c r="K7" s="23">
        <v>20000</v>
      </c>
      <c r="L7" s="24">
        <v>21200</v>
      </c>
      <c r="M7" s="18">
        <v>0.23672850309182136</v>
      </c>
      <c r="N7" s="25">
        <v>4058</v>
      </c>
      <c r="O7" s="19">
        <v>131260058.82352941</v>
      </c>
      <c r="P7" s="19">
        <v>57779421.294117637</v>
      </c>
      <c r="Q7" s="26">
        <v>2.2717440895672771</v>
      </c>
      <c r="R7" s="64">
        <v>2945.4166666666665</v>
      </c>
      <c r="S7" s="97">
        <v>6</v>
      </c>
      <c r="T7" s="91">
        <v>0.73846060273031167</v>
      </c>
      <c r="U7" s="93">
        <v>2.4280453257790366</v>
      </c>
      <c r="W7" s="200" t="s">
        <v>429</v>
      </c>
    </row>
    <row r="8" spans="2:23" x14ac:dyDescent="0.25">
      <c r="B8" s="28" t="s">
        <v>75</v>
      </c>
      <c r="C8" s="71" t="s">
        <v>333</v>
      </c>
      <c r="D8" s="30" t="s">
        <v>56</v>
      </c>
      <c r="E8" s="13">
        <v>50450</v>
      </c>
      <c r="F8" s="14">
        <v>0.71050191106849669</v>
      </c>
      <c r="G8" s="15">
        <v>72.17730833457783</v>
      </c>
      <c r="H8" s="21" t="s">
        <v>76</v>
      </c>
      <c r="I8" s="22">
        <v>49084</v>
      </c>
      <c r="J8" s="23">
        <v>55500</v>
      </c>
      <c r="K8" s="23">
        <v>59200</v>
      </c>
      <c r="L8" s="24">
        <v>63600</v>
      </c>
      <c r="M8" s="18">
        <v>0.29573791867003507</v>
      </c>
      <c r="N8" s="25">
        <v>14516</v>
      </c>
      <c r="O8" s="19">
        <v>356936058.82352942</v>
      </c>
      <c r="P8" s="19">
        <v>134095823.52941176</v>
      </c>
      <c r="Q8" s="26">
        <v>2.6617984768574185</v>
      </c>
      <c r="R8" s="64">
        <v>3153.125</v>
      </c>
      <c r="S8" s="387">
        <v>14</v>
      </c>
      <c r="T8" s="91">
        <v>0.69296915998165154</v>
      </c>
      <c r="U8" s="93">
        <v>2.600476821192053</v>
      </c>
      <c r="W8" s="200" t="s">
        <v>363</v>
      </c>
    </row>
    <row r="9" spans="2:23" x14ac:dyDescent="0.25">
      <c r="B9" s="5" t="s">
        <v>40</v>
      </c>
      <c r="C9" s="6" t="s">
        <v>267</v>
      </c>
      <c r="D9" s="12" t="s">
        <v>41</v>
      </c>
      <c r="E9" s="13">
        <v>3685.75</v>
      </c>
      <c r="F9" s="14">
        <v>0.64826172050079189</v>
      </c>
      <c r="G9" s="15">
        <v>43.004822039218674</v>
      </c>
      <c r="H9" s="21" t="s">
        <v>42</v>
      </c>
      <c r="I9" s="22">
        <v>3471</v>
      </c>
      <c r="J9" s="23">
        <v>3970</v>
      </c>
      <c r="K9" s="23">
        <v>4340</v>
      </c>
      <c r="L9" s="24">
        <v>4640</v>
      </c>
      <c r="M9" s="18">
        <v>0.33679055027369631</v>
      </c>
      <c r="N9" s="25">
        <v>1169</v>
      </c>
      <c r="O9" s="19">
        <v>10435117.647058824</v>
      </c>
      <c r="P9" s="19">
        <v>5959000</v>
      </c>
      <c r="Q9" s="26">
        <v>1.7511524831446257</v>
      </c>
      <c r="R9" s="64">
        <v>1228.5833333333333</v>
      </c>
      <c r="S9" s="97">
        <v>3</v>
      </c>
      <c r="T9" s="91">
        <v>0.82663036382626853</v>
      </c>
      <c r="U9" s="93">
        <v>4.0596491228070173</v>
      </c>
      <c r="W9" s="200" t="s">
        <v>367</v>
      </c>
    </row>
    <row r="10" spans="2:23" x14ac:dyDescent="0.25">
      <c r="B10" s="5" t="s">
        <v>43</v>
      </c>
      <c r="C10" s="6" t="s">
        <v>268</v>
      </c>
      <c r="D10" s="12" t="s">
        <v>44</v>
      </c>
      <c r="E10" s="13">
        <v>6706.5</v>
      </c>
      <c r="F10" s="14">
        <v>0.65130478132082059</v>
      </c>
      <c r="G10" s="15">
        <v>51.170710688567318</v>
      </c>
      <c r="H10" s="27" t="s">
        <v>45</v>
      </c>
      <c r="I10" s="22">
        <v>6661</v>
      </c>
      <c r="J10" s="23">
        <v>7800</v>
      </c>
      <c r="K10" s="23">
        <v>10100</v>
      </c>
      <c r="L10" s="24">
        <v>12600</v>
      </c>
      <c r="M10" s="18">
        <v>0.89160786668668379</v>
      </c>
      <c r="N10" s="25">
        <v>5939</v>
      </c>
      <c r="O10" s="19">
        <v>24864588.235294119</v>
      </c>
      <c r="P10" s="19">
        <v>14195310.924369749</v>
      </c>
      <c r="Q10" s="26">
        <v>1.7516057497978383</v>
      </c>
      <c r="R10" s="64">
        <v>3353.25</v>
      </c>
      <c r="S10" s="97">
        <v>2</v>
      </c>
      <c r="T10" s="91">
        <v>0.84660070519904906</v>
      </c>
      <c r="U10" s="93">
        <v>2.8200677392040645</v>
      </c>
      <c r="W10" s="201" t="s">
        <v>364</v>
      </c>
    </row>
    <row r="11" spans="2:23" x14ac:dyDescent="0.25">
      <c r="B11" s="28" t="s">
        <v>46</v>
      </c>
      <c r="C11" s="29" t="s">
        <v>47</v>
      </c>
      <c r="D11" s="30" t="s">
        <v>38</v>
      </c>
      <c r="E11" s="13">
        <v>62266.333333333336</v>
      </c>
      <c r="F11" s="14">
        <v>0.66973209545286516</v>
      </c>
      <c r="G11" s="15">
        <v>68.051745561689742</v>
      </c>
      <c r="H11" s="27" t="s">
        <v>48</v>
      </c>
      <c r="I11" s="22">
        <v>57186</v>
      </c>
      <c r="J11" s="22">
        <v>66300</v>
      </c>
      <c r="K11" s="22">
        <v>76700</v>
      </c>
      <c r="L11" s="24">
        <v>87300</v>
      </c>
      <c r="M11" s="18">
        <v>0.52659741894869372</v>
      </c>
      <c r="N11" s="25">
        <v>30114</v>
      </c>
      <c r="O11" s="19">
        <v>356329000</v>
      </c>
      <c r="P11" s="19">
        <v>133405327.73109244</v>
      </c>
      <c r="Q11" s="26">
        <v>2.6710252585883145</v>
      </c>
      <c r="R11" s="64">
        <v>8895.1904761904771</v>
      </c>
      <c r="S11" s="97">
        <v>7</v>
      </c>
      <c r="T11" s="91">
        <v>0.67704054961405646</v>
      </c>
      <c r="U11" s="93">
        <v>2.7131944773924181</v>
      </c>
    </row>
    <row r="12" spans="2:23" x14ac:dyDescent="0.25">
      <c r="B12" s="5" t="s">
        <v>77</v>
      </c>
      <c r="C12" s="6" t="s">
        <v>430</v>
      </c>
      <c r="D12" s="12" t="s">
        <v>51</v>
      </c>
      <c r="E12" s="13">
        <v>86342</v>
      </c>
      <c r="F12" s="14">
        <v>0.61252037389397007</v>
      </c>
      <c r="G12" s="15">
        <v>69.605200440554498</v>
      </c>
      <c r="H12" s="31" t="s">
        <v>78</v>
      </c>
      <c r="I12" s="22">
        <v>82893</v>
      </c>
      <c r="J12" s="23">
        <v>86100</v>
      </c>
      <c r="K12" s="23">
        <v>89400</v>
      </c>
      <c r="L12" s="24">
        <v>93300</v>
      </c>
      <c r="M12" s="18">
        <v>0.12554739242155555</v>
      </c>
      <c r="N12" s="25">
        <v>10407</v>
      </c>
      <c r="O12" s="19">
        <v>403491661.70588237</v>
      </c>
      <c r="P12" s="19">
        <v>195256049.37815124</v>
      </c>
      <c r="Q12" s="26">
        <v>2.0664745752611355</v>
      </c>
      <c r="R12" s="64">
        <v>14390.333333333334</v>
      </c>
      <c r="S12" s="97">
        <v>6</v>
      </c>
      <c r="T12" s="91">
        <v>0.74613533388061282</v>
      </c>
      <c r="U12" s="93">
        <v>2.3086756719119901</v>
      </c>
    </row>
    <row r="13" spans="2:23" x14ac:dyDescent="0.25">
      <c r="B13" s="28" t="s">
        <v>49</v>
      </c>
      <c r="C13" s="29" t="s">
        <v>50</v>
      </c>
      <c r="D13" s="30" t="s">
        <v>51</v>
      </c>
      <c r="E13" s="13">
        <v>30104.25</v>
      </c>
      <c r="F13" s="14">
        <v>0.72750605298754123</v>
      </c>
      <c r="G13" s="15">
        <v>64.273248634511049</v>
      </c>
      <c r="H13" s="31" t="s">
        <v>52</v>
      </c>
      <c r="I13" s="22">
        <v>30104</v>
      </c>
      <c r="J13" s="23">
        <v>31400</v>
      </c>
      <c r="K13" s="23">
        <v>33000</v>
      </c>
      <c r="L13" s="24">
        <v>35400</v>
      </c>
      <c r="M13" s="18">
        <v>0.17592346532022329</v>
      </c>
      <c r="N13" s="25">
        <v>5296</v>
      </c>
      <c r="O13" s="19">
        <v>156334176.47058824</v>
      </c>
      <c r="P13" s="19">
        <v>81184142.857142851</v>
      </c>
      <c r="Q13" s="26">
        <v>1.9256737950129559</v>
      </c>
      <c r="R13" s="64">
        <v>3344.9166666666665</v>
      </c>
      <c r="S13" s="97">
        <v>9</v>
      </c>
      <c r="T13" s="91">
        <v>0.8077390642873159</v>
      </c>
      <c r="U13" s="93">
        <v>2.7988099665303086</v>
      </c>
    </row>
    <row r="14" spans="2:23" x14ac:dyDescent="0.25">
      <c r="B14" s="5" t="s">
        <v>53</v>
      </c>
      <c r="C14" s="6" t="s">
        <v>431</v>
      </c>
      <c r="D14" s="12" t="s">
        <v>51</v>
      </c>
      <c r="E14" s="13">
        <v>78311.5</v>
      </c>
      <c r="F14" s="14">
        <v>0.77083425407269401</v>
      </c>
      <c r="G14" s="15">
        <v>76.121126386815419</v>
      </c>
      <c r="H14" s="31" t="s">
        <v>54</v>
      </c>
      <c r="I14" s="16">
        <v>75781</v>
      </c>
      <c r="J14" s="16">
        <v>86700</v>
      </c>
      <c r="K14" s="16">
        <v>91800</v>
      </c>
      <c r="L14" s="17">
        <v>97900</v>
      </c>
      <c r="M14" s="18">
        <v>0.29188055053377493</v>
      </c>
      <c r="N14" s="25">
        <v>22119</v>
      </c>
      <c r="O14" s="19">
        <v>465092217.64705884</v>
      </c>
      <c r="P14" s="19">
        <v>196216090.50420168</v>
      </c>
      <c r="Q14" s="26">
        <v>2.3703062090980738</v>
      </c>
      <c r="R14" s="64">
        <v>7831.15</v>
      </c>
      <c r="S14" s="97">
        <v>10</v>
      </c>
      <c r="T14" s="91">
        <v>0.72498251304788697</v>
      </c>
      <c r="U14" s="93">
        <v>2.8892066033779407</v>
      </c>
    </row>
    <row r="15" spans="2:23" x14ac:dyDescent="0.25">
      <c r="B15" s="5" t="s">
        <v>55</v>
      </c>
      <c r="C15" s="6" t="s">
        <v>269</v>
      </c>
      <c r="D15" s="12" t="s">
        <v>56</v>
      </c>
      <c r="E15" s="13">
        <v>61026.5</v>
      </c>
      <c r="F15" s="14">
        <v>0.54889693669585293</v>
      </c>
      <c r="G15" s="15">
        <v>63.307249522972782</v>
      </c>
      <c r="H15" s="21" t="s">
        <v>57</v>
      </c>
      <c r="I15" s="22">
        <v>60306</v>
      </c>
      <c r="J15" s="23">
        <v>63500</v>
      </c>
      <c r="K15" s="23">
        <v>66000</v>
      </c>
      <c r="L15" s="24">
        <v>68500</v>
      </c>
      <c r="M15" s="18">
        <v>0.13587371074188304</v>
      </c>
      <c r="N15" s="25">
        <v>8194</v>
      </c>
      <c r="O15" s="19">
        <v>334703425.58823532</v>
      </c>
      <c r="P15" s="19">
        <v>153640295.5714286</v>
      </c>
      <c r="Q15" s="26">
        <v>2.1784872539029259</v>
      </c>
      <c r="R15" s="64">
        <v>3589.794117647059</v>
      </c>
      <c r="S15" s="97">
        <v>17</v>
      </c>
      <c r="T15" s="91">
        <v>0.73911080504750282</v>
      </c>
      <c r="U15" s="93">
        <v>2.4834657991187252</v>
      </c>
    </row>
    <row r="16" spans="2:23" x14ac:dyDescent="0.25">
      <c r="B16" s="5" t="s">
        <v>58</v>
      </c>
      <c r="C16" s="6" t="s">
        <v>4</v>
      </c>
      <c r="D16" s="12" t="s">
        <v>59</v>
      </c>
      <c r="E16" s="13">
        <v>4218.75</v>
      </c>
      <c r="F16" s="14">
        <v>0.89677577173765688</v>
      </c>
      <c r="G16" s="15">
        <v>68.089863013698633</v>
      </c>
      <c r="H16" s="5" t="s">
        <v>59</v>
      </c>
      <c r="I16" s="16">
        <v>3724</v>
      </c>
      <c r="J16" s="16">
        <v>6300</v>
      </c>
      <c r="K16" s="16">
        <v>10300</v>
      </c>
      <c r="L16" s="17">
        <v>15500</v>
      </c>
      <c r="M16" s="18">
        <v>3.1621911922663806</v>
      </c>
      <c r="N16" s="25">
        <v>11776</v>
      </c>
      <c r="O16" s="19">
        <v>17195021.352941178</v>
      </c>
      <c r="P16" s="19">
        <v>5711527.9747899165</v>
      </c>
      <c r="Q16" s="26">
        <v>3.0105816567542334</v>
      </c>
      <c r="R16" s="64">
        <v>1406.25</v>
      </c>
      <c r="S16" s="387">
        <v>4</v>
      </c>
      <c r="T16" s="91">
        <v>0.65564848927872599</v>
      </c>
      <c r="U16" s="93">
        <v>3.1505922165820643</v>
      </c>
    </row>
    <row r="17" spans="2:21" x14ac:dyDescent="0.25">
      <c r="B17" s="5" t="s">
        <v>60</v>
      </c>
      <c r="C17" s="6" t="s">
        <v>61</v>
      </c>
      <c r="D17" s="12" t="s">
        <v>38</v>
      </c>
      <c r="E17" s="13">
        <v>3845.25</v>
      </c>
      <c r="F17" s="14">
        <v>0.90707559970690421</v>
      </c>
      <c r="G17" s="15">
        <v>59.085582728379528</v>
      </c>
      <c r="H17" s="5" t="s">
        <v>62</v>
      </c>
      <c r="I17" s="16">
        <v>3792</v>
      </c>
      <c r="J17" s="16">
        <v>3840</v>
      </c>
      <c r="K17" s="16">
        <v>3930</v>
      </c>
      <c r="L17" s="17">
        <v>4060</v>
      </c>
      <c r="M17" s="18">
        <v>7.0675105485232148E-2</v>
      </c>
      <c r="N17" s="25">
        <v>268</v>
      </c>
      <c r="O17" s="19">
        <v>14068529.411764706</v>
      </c>
      <c r="P17" s="19">
        <v>5467159.6638655458</v>
      </c>
      <c r="Q17" s="26">
        <v>2.5732794132113521</v>
      </c>
      <c r="R17" s="64">
        <v>3845.25</v>
      </c>
      <c r="S17" s="97">
        <v>1</v>
      </c>
      <c r="T17" s="91">
        <v>0.70618097765369958</v>
      </c>
      <c r="U17" s="93">
        <v>2.8836501901140683</v>
      </c>
    </row>
    <row r="18" spans="2:21" x14ac:dyDescent="0.25">
      <c r="B18" s="5" t="s">
        <v>63</v>
      </c>
      <c r="C18" s="6" t="s">
        <v>64</v>
      </c>
      <c r="D18" s="12" t="s">
        <v>51</v>
      </c>
      <c r="E18" s="13">
        <v>23207</v>
      </c>
      <c r="F18" s="14">
        <v>0.87485234212690099</v>
      </c>
      <c r="G18" s="15">
        <v>82.274626633083656</v>
      </c>
      <c r="H18" s="5" t="s">
        <v>65</v>
      </c>
      <c r="I18" s="16">
        <v>23089</v>
      </c>
      <c r="J18" s="16">
        <v>23200</v>
      </c>
      <c r="K18" s="16">
        <v>24200</v>
      </c>
      <c r="L18" s="17">
        <v>24000</v>
      </c>
      <c r="M18" s="18">
        <v>3.9456018017237637E-2</v>
      </c>
      <c r="N18" s="25">
        <v>911</v>
      </c>
      <c r="O18" s="19">
        <v>145711176.47058824</v>
      </c>
      <c r="P18" s="19">
        <v>51851017.042016804</v>
      </c>
      <c r="Q18" s="26">
        <v>2.8101893614258917</v>
      </c>
      <c r="R18" s="64">
        <v>3867.8333333333335</v>
      </c>
      <c r="S18" s="97">
        <v>6</v>
      </c>
      <c r="T18" s="91">
        <v>0.66495667455717367</v>
      </c>
      <c r="U18" s="93">
        <v>2.7724543707973104</v>
      </c>
    </row>
    <row r="19" spans="2:21" x14ac:dyDescent="0.25">
      <c r="B19" s="5" t="s">
        <v>66</v>
      </c>
      <c r="C19" s="6" t="s">
        <v>270</v>
      </c>
      <c r="D19" s="12" t="s">
        <v>59</v>
      </c>
      <c r="E19" s="13">
        <v>24638.75</v>
      </c>
      <c r="F19" s="14">
        <v>0.76657278322712541</v>
      </c>
      <c r="G19" s="15">
        <v>78.384713910527665</v>
      </c>
      <c r="H19" s="5" t="s">
        <v>67</v>
      </c>
      <c r="I19" s="16">
        <v>22952</v>
      </c>
      <c r="J19" s="16">
        <v>26700</v>
      </c>
      <c r="K19" s="16">
        <v>31700</v>
      </c>
      <c r="L19" s="17">
        <v>37100</v>
      </c>
      <c r="M19" s="18">
        <v>0.61641686998954337</v>
      </c>
      <c r="N19" s="25">
        <v>14148</v>
      </c>
      <c r="O19" s="19">
        <v>157532124.35294119</v>
      </c>
      <c r="P19" s="19">
        <v>59075652.62184874</v>
      </c>
      <c r="Q19" s="26">
        <v>2.6666167424560787</v>
      </c>
      <c r="R19" s="64">
        <v>3079.84375</v>
      </c>
      <c r="S19" s="387">
        <v>12</v>
      </c>
      <c r="T19" s="91">
        <v>0.68327141750060616</v>
      </c>
      <c r="U19" s="93">
        <v>2.7480842911877397</v>
      </c>
    </row>
    <row r="20" spans="2:21" x14ac:dyDescent="0.25">
      <c r="B20" s="5" t="s">
        <v>68</v>
      </c>
      <c r="C20" s="6" t="s">
        <v>69</v>
      </c>
      <c r="D20" s="12" t="s">
        <v>59</v>
      </c>
      <c r="E20" s="13">
        <v>24100</v>
      </c>
      <c r="F20" s="14">
        <v>0.46281215393843378</v>
      </c>
      <c r="G20" s="15">
        <v>53.900898084465418</v>
      </c>
      <c r="H20" s="27" t="s">
        <v>70</v>
      </c>
      <c r="I20" s="22">
        <v>23770</v>
      </c>
      <c r="J20" s="23">
        <v>27100</v>
      </c>
      <c r="K20" s="23">
        <v>32000</v>
      </c>
      <c r="L20" s="24">
        <v>36600</v>
      </c>
      <c r="M20" s="18">
        <v>0.53975599495161974</v>
      </c>
      <c r="N20" s="25">
        <v>12830</v>
      </c>
      <c r="O20" s="19">
        <v>153318588.11764705</v>
      </c>
      <c r="P20" s="19">
        <v>64204487.369747899</v>
      </c>
      <c r="Q20" s="26">
        <v>2.3879730903339982</v>
      </c>
      <c r="R20" s="64">
        <v>4016.6666666666665</v>
      </c>
      <c r="S20" s="97">
        <v>6</v>
      </c>
      <c r="T20" s="91">
        <v>0.72698756168544165</v>
      </c>
      <c r="U20" s="93">
        <v>2.6962341197822139</v>
      </c>
    </row>
    <row r="21" spans="2:21" x14ac:dyDescent="0.25">
      <c r="B21" s="5" t="s">
        <v>71</v>
      </c>
      <c r="C21" s="6" t="s">
        <v>72</v>
      </c>
      <c r="D21" s="12" t="s">
        <v>38</v>
      </c>
      <c r="E21" s="13">
        <v>4974.25</v>
      </c>
      <c r="F21" s="14">
        <v>0.87222353382131013</v>
      </c>
      <c r="G21" s="15">
        <v>63.347615975699512</v>
      </c>
      <c r="H21" s="5" t="s">
        <v>73</v>
      </c>
      <c r="I21" s="16">
        <v>4918</v>
      </c>
      <c r="J21" s="16">
        <v>5000</v>
      </c>
      <c r="K21" s="16">
        <v>5200</v>
      </c>
      <c r="L21" s="17">
        <v>5300</v>
      </c>
      <c r="M21" s="18">
        <v>7.7673851159007823E-2</v>
      </c>
      <c r="N21" s="25">
        <v>382</v>
      </c>
      <c r="O21" s="19">
        <v>22707882.352941178</v>
      </c>
      <c r="P21" s="19">
        <v>9857857.1428571437</v>
      </c>
      <c r="Q21" s="26">
        <v>2.3035312871616291</v>
      </c>
      <c r="R21" s="64">
        <v>2487.125</v>
      </c>
      <c r="S21" s="97">
        <v>2</v>
      </c>
      <c r="T21" s="91">
        <v>0.73129238094891769</v>
      </c>
      <c r="U21" s="93">
        <v>2.4516450648055832</v>
      </c>
    </row>
    <row r="22" spans="2:21" x14ac:dyDescent="0.25">
      <c r="B22" s="5" t="s">
        <v>98</v>
      </c>
      <c r="C22" s="6" t="s">
        <v>271</v>
      </c>
      <c r="D22" s="12" t="s">
        <v>59</v>
      </c>
      <c r="E22" s="13">
        <v>1519</v>
      </c>
      <c r="F22" s="14">
        <v>0.78360455109161031</v>
      </c>
      <c r="G22" s="15">
        <v>58.087556250958187</v>
      </c>
      <c r="H22" s="5" t="s">
        <v>99</v>
      </c>
      <c r="I22" s="16">
        <v>1519</v>
      </c>
      <c r="J22" s="16">
        <v>2100</v>
      </c>
      <c r="K22" s="16">
        <v>2940</v>
      </c>
      <c r="L22" s="17">
        <v>3910</v>
      </c>
      <c r="M22" s="18">
        <v>1.5740618828176434</v>
      </c>
      <c r="N22" s="25">
        <v>2391</v>
      </c>
      <c r="O22" s="19">
        <v>5881604.1176470593</v>
      </c>
      <c r="P22" s="19">
        <v>2699400.1176470593</v>
      </c>
      <c r="Q22" s="26">
        <v>2.1788559907057343</v>
      </c>
      <c r="R22" s="64">
        <v>759.5</v>
      </c>
      <c r="S22" s="97">
        <v>2</v>
      </c>
      <c r="T22" s="91">
        <v>0.78084810628614287</v>
      </c>
      <c r="U22" s="93">
        <v>2.8181818181818183</v>
      </c>
    </row>
    <row r="23" spans="2:21" x14ac:dyDescent="0.25">
      <c r="B23" s="5" t="s">
        <v>100</v>
      </c>
      <c r="C23" s="6" t="s">
        <v>272</v>
      </c>
      <c r="D23" s="12" t="s">
        <v>38</v>
      </c>
      <c r="E23" s="13">
        <v>62475.5</v>
      </c>
      <c r="F23" s="14">
        <v>0.98667305475834621</v>
      </c>
      <c r="G23" s="15">
        <v>43.367509762457018</v>
      </c>
      <c r="H23" s="5" t="s">
        <v>101</v>
      </c>
      <c r="I23" s="16">
        <v>61476</v>
      </c>
      <c r="J23" s="16">
        <v>64800</v>
      </c>
      <c r="K23" s="16">
        <v>68400</v>
      </c>
      <c r="L23" s="17">
        <v>72100</v>
      </c>
      <c r="M23" s="18">
        <v>0.17281540763875336</v>
      </c>
      <c r="N23" s="25">
        <v>10624</v>
      </c>
      <c r="O23" s="19">
        <v>433163698.29411763</v>
      </c>
      <c r="P23" s="19">
        <v>162102403.69747898</v>
      </c>
      <c r="Q23" s="26">
        <v>2.6721608589006642</v>
      </c>
      <c r="R23" s="64">
        <v>4462.5357142857147</v>
      </c>
      <c r="S23" s="97">
        <v>13.999999999999998</v>
      </c>
      <c r="T23" s="91">
        <v>0.67851846894230283</v>
      </c>
      <c r="U23" s="93">
        <v>2.612442631310556</v>
      </c>
    </row>
    <row r="24" spans="2:21" x14ac:dyDescent="0.25">
      <c r="B24" s="5" t="s">
        <v>102</v>
      </c>
      <c r="C24" s="6" t="s">
        <v>432</v>
      </c>
      <c r="D24" s="12" t="s">
        <v>41</v>
      </c>
      <c r="E24" s="13">
        <v>34055.75</v>
      </c>
      <c r="F24" s="14">
        <v>0.82815753040167417</v>
      </c>
      <c r="G24" s="15">
        <v>72.808680649446785</v>
      </c>
      <c r="H24" s="5" t="s">
        <v>103</v>
      </c>
      <c r="I24" s="16">
        <v>34589</v>
      </c>
      <c r="J24" s="16">
        <v>38400</v>
      </c>
      <c r="K24" s="16">
        <v>42200</v>
      </c>
      <c r="L24" s="17">
        <v>47000</v>
      </c>
      <c r="M24" s="18">
        <v>0.35881349561999487</v>
      </c>
      <c r="N24" s="25">
        <v>12411</v>
      </c>
      <c r="O24" s="19">
        <v>206165984.82352942</v>
      </c>
      <c r="P24" s="19">
        <v>76466739.117647067</v>
      </c>
      <c r="Q24" s="26">
        <v>2.6961524344111889</v>
      </c>
      <c r="R24" s="64">
        <v>3095.9772727272725</v>
      </c>
      <c r="S24" s="97">
        <v>11</v>
      </c>
      <c r="T24" s="91">
        <v>0.6841647967726332</v>
      </c>
      <c r="U24" s="93">
        <v>2.9515317006570525</v>
      </c>
    </row>
    <row r="25" spans="2:21" x14ac:dyDescent="0.25">
      <c r="B25" s="5" t="s">
        <v>104</v>
      </c>
      <c r="C25" s="6" t="s">
        <v>273</v>
      </c>
      <c r="D25" s="12" t="s">
        <v>51</v>
      </c>
      <c r="E25" s="13">
        <v>1274</v>
      </c>
      <c r="F25" s="14">
        <v>0.89947264008932226</v>
      </c>
      <c r="G25" s="15">
        <v>64.677462133430822</v>
      </c>
      <c r="H25" s="5" t="s">
        <v>105</v>
      </c>
      <c r="I25" s="16">
        <v>4617</v>
      </c>
      <c r="J25" s="16">
        <v>5900</v>
      </c>
      <c r="K25" s="16">
        <v>7900</v>
      </c>
      <c r="L25" s="17">
        <v>10400</v>
      </c>
      <c r="M25" s="18">
        <v>1.2525449426034223</v>
      </c>
      <c r="N25" s="25">
        <v>5783</v>
      </c>
      <c r="O25" s="19">
        <v>2376312.5</v>
      </c>
      <c r="P25" s="19">
        <v>1219973.2142857143</v>
      </c>
      <c r="Q25" s="26">
        <v>1.9478398969532411</v>
      </c>
      <c r="R25" s="64">
        <v>637</v>
      </c>
      <c r="S25" s="97">
        <v>2</v>
      </c>
      <c r="T25" s="91">
        <v>0.8024016986421395</v>
      </c>
      <c r="U25" s="93">
        <v>2.8517603458925262</v>
      </c>
    </row>
    <row r="26" spans="2:21" x14ac:dyDescent="0.25">
      <c r="B26" s="28" t="s">
        <v>79</v>
      </c>
      <c r="C26" s="71" t="s">
        <v>334</v>
      </c>
      <c r="D26" s="30" t="s">
        <v>56</v>
      </c>
      <c r="E26" s="13">
        <v>66398</v>
      </c>
      <c r="F26" s="14">
        <v>0.67461069418506514</v>
      </c>
      <c r="G26" s="15">
        <v>78.023981164641441</v>
      </c>
      <c r="H26" s="21" t="s">
        <v>80</v>
      </c>
      <c r="I26" s="22">
        <v>64206</v>
      </c>
      <c r="J26" s="23">
        <v>67400</v>
      </c>
      <c r="K26" s="23">
        <v>69800</v>
      </c>
      <c r="L26" s="24">
        <v>72300</v>
      </c>
      <c r="M26" s="18">
        <v>0.12606298476777877</v>
      </c>
      <c r="N26" s="25">
        <v>8094</v>
      </c>
      <c r="O26" s="19">
        <v>476709823.52941179</v>
      </c>
      <c r="P26" s="19">
        <v>191537741.17647058</v>
      </c>
      <c r="Q26" s="26">
        <v>2.4888558286285831</v>
      </c>
      <c r="R26" s="64">
        <v>3161.8095238095239</v>
      </c>
      <c r="S26" s="97">
        <v>21</v>
      </c>
      <c r="T26" s="91">
        <v>0.70529666564218629</v>
      </c>
      <c r="U26" s="93">
        <v>2.5429125905976475</v>
      </c>
    </row>
    <row r="27" spans="2:21" x14ac:dyDescent="0.25">
      <c r="B27" s="28" t="s">
        <v>81</v>
      </c>
      <c r="C27" s="71" t="s">
        <v>340</v>
      </c>
      <c r="D27" s="30" t="s">
        <v>51</v>
      </c>
      <c r="E27" s="13">
        <v>62628.25</v>
      </c>
      <c r="F27" s="14">
        <v>0.74155592539128778</v>
      </c>
      <c r="G27" s="15">
        <v>80.463294798525482</v>
      </c>
      <c r="H27" s="31" t="s">
        <v>82</v>
      </c>
      <c r="I27" s="22">
        <v>60797</v>
      </c>
      <c r="J27" s="23">
        <v>67900</v>
      </c>
      <c r="K27" s="23">
        <v>75200</v>
      </c>
      <c r="L27" s="24">
        <v>82400</v>
      </c>
      <c r="M27" s="18">
        <v>0.35533003273187824</v>
      </c>
      <c r="N27" s="25">
        <v>21603</v>
      </c>
      <c r="O27" s="19">
        <v>456938529.41176468</v>
      </c>
      <c r="P27" s="19">
        <v>163553168.06722689</v>
      </c>
      <c r="Q27" s="26">
        <v>2.7938225520886557</v>
      </c>
      <c r="R27" s="64">
        <v>4175.2166666666662</v>
      </c>
      <c r="S27" s="97">
        <v>15.000000000000002</v>
      </c>
      <c r="T27" s="91">
        <v>0.65891079668802999</v>
      </c>
      <c r="U27" s="93">
        <v>2.5406184705390724</v>
      </c>
    </row>
    <row r="28" spans="2:21" x14ac:dyDescent="0.25">
      <c r="B28" s="28" t="s">
        <v>83</v>
      </c>
      <c r="C28" s="71" t="s">
        <v>433</v>
      </c>
      <c r="D28" s="30" t="s">
        <v>51</v>
      </c>
      <c r="E28" s="13">
        <v>47941</v>
      </c>
      <c r="F28" s="14">
        <v>0.66720524031439099</v>
      </c>
      <c r="G28" s="15">
        <v>87.009656989913111</v>
      </c>
      <c r="H28" s="31" t="s">
        <v>84</v>
      </c>
      <c r="I28" s="22">
        <v>47941</v>
      </c>
      <c r="J28" s="23">
        <v>51200</v>
      </c>
      <c r="K28" s="23">
        <v>53900</v>
      </c>
      <c r="L28" s="24">
        <v>54400</v>
      </c>
      <c r="M28" s="18">
        <v>0.13472810329363183</v>
      </c>
      <c r="N28" s="25">
        <v>6459</v>
      </c>
      <c r="O28" s="19">
        <v>359967747.05882353</v>
      </c>
      <c r="P28" s="19">
        <v>155662326.07563025</v>
      </c>
      <c r="Q28" s="26">
        <v>2.3124911218654747</v>
      </c>
      <c r="R28" s="64">
        <v>5992.625</v>
      </c>
      <c r="S28" s="97">
        <v>8</v>
      </c>
      <c r="T28" s="91">
        <v>0.71982766336695325</v>
      </c>
      <c r="U28" s="93">
        <v>2.3191273219814241</v>
      </c>
    </row>
    <row r="29" spans="2:21" x14ac:dyDescent="0.25">
      <c r="B29" s="28" t="s">
        <v>106</v>
      </c>
      <c r="C29" s="29" t="s">
        <v>274</v>
      </c>
      <c r="D29" s="30" t="s">
        <v>44</v>
      </c>
      <c r="E29" s="13">
        <v>4407.5</v>
      </c>
      <c r="F29" s="14">
        <v>0.73455220821596767</v>
      </c>
      <c r="G29" s="15">
        <v>46.00313724271362</v>
      </c>
      <c r="H29" s="27" t="s">
        <v>107</v>
      </c>
      <c r="I29" s="22">
        <v>4110</v>
      </c>
      <c r="J29" s="23">
        <v>6100</v>
      </c>
      <c r="K29" s="23">
        <v>8600</v>
      </c>
      <c r="L29" s="24">
        <v>11900</v>
      </c>
      <c r="M29" s="18">
        <v>1.8953771289537711</v>
      </c>
      <c r="N29" s="25">
        <v>7790</v>
      </c>
      <c r="O29" s="19">
        <v>10921970.588235294</v>
      </c>
      <c r="P29" s="19">
        <v>4298389.5378151266</v>
      </c>
      <c r="Q29" s="26">
        <v>2.5409448101781247</v>
      </c>
      <c r="R29" s="64">
        <v>1469.1666666666667</v>
      </c>
      <c r="S29" s="97">
        <v>3</v>
      </c>
      <c r="T29" s="91">
        <v>0.70637942643282381</v>
      </c>
      <c r="U29" s="93">
        <v>3.2644956314535345</v>
      </c>
    </row>
    <row r="30" spans="2:21" x14ac:dyDescent="0.25">
      <c r="B30" s="5" t="s">
        <v>108</v>
      </c>
      <c r="C30" s="6" t="s">
        <v>3</v>
      </c>
      <c r="D30" s="12" t="s">
        <v>56</v>
      </c>
      <c r="E30" s="13">
        <v>2284</v>
      </c>
      <c r="F30" s="14">
        <v>0.87403050672182003</v>
      </c>
      <c r="G30" s="15">
        <v>72.995585730393685</v>
      </c>
      <c r="H30" s="5" t="s">
        <v>3</v>
      </c>
      <c r="I30" s="16">
        <v>2444</v>
      </c>
      <c r="J30" s="16">
        <v>3170</v>
      </c>
      <c r="K30" s="16">
        <v>3990</v>
      </c>
      <c r="L30" s="17">
        <v>4830</v>
      </c>
      <c r="M30" s="18">
        <v>0.97626841243862517</v>
      </c>
      <c r="N30" s="25">
        <v>2386</v>
      </c>
      <c r="O30" s="19">
        <v>11547941.176470589</v>
      </c>
      <c r="P30" s="19">
        <v>3575369.7478991598</v>
      </c>
      <c r="Q30" s="26">
        <v>3.2298592846952423</v>
      </c>
      <c r="R30" s="64">
        <v>1142</v>
      </c>
      <c r="S30" s="97">
        <v>2</v>
      </c>
      <c r="T30" s="91">
        <v>0.63376060053005923</v>
      </c>
      <c r="U30" s="93">
        <v>3.0858585858585861</v>
      </c>
    </row>
    <row r="31" spans="2:21" x14ac:dyDescent="0.25">
      <c r="B31" s="28" t="s">
        <v>109</v>
      </c>
      <c r="C31" s="29" t="s">
        <v>275</v>
      </c>
      <c r="D31" s="30" t="s">
        <v>51</v>
      </c>
      <c r="E31" s="13">
        <v>2210</v>
      </c>
      <c r="F31" s="14">
        <v>0.6723737035069538</v>
      </c>
      <c r="G31" s="15">
        <v>71.785780697948297</v>
      </c>
      <c r="H31" s="31" t="s">
        <v>110</v>
      </c>
      <c r="I31" s="22">
        <v>2188</v>
      </c>
      <c r="J31" s="23">
        <v>2280</v>
      </c>
      <c r="K31" s="23">
        <v>2430</v>
      </c>
      <c r="L31" s="24">
        <v>2420</v>
      </c>
      <c r="M31" s="18">
        <v>0.1060329067641681</v>
      </c>
      <c r="N31" s="25">
        <v>232</v>
      </c>
      <c r="O31" s="19">
        <v>11847426.470588235</v>
      </c>
      <c r="P31" s="19">
        <v>7683720.5882352944</v>
      </c>
      <c r="Q31" s="26">
        <v>1.5418866855632516</v>
      </c>
      <c r="R31" s="64">
        <v>1105</v>
      </c>
      <c r="S31" s="97">
        <v>2</v>
      </c>
      <c r="T31" s="91">
        <v>0.87326657048999135</v>
      </c>
      <c r="U31" s="93">
        <v>1.9623318385650224</v>
      </c>
    </row>
    <row r="32" spans="2:21" x14ac:dyDescent="0.25">
      <c r="B32" s="5" t="s">
        <v>111</v>
      </c>
      <c r="C32" s="6" t="s">
        <v>112</v>
      </c>
      <c r="D32" s="12" t="s">
        <v>56</v>
      </c>
      <c r="E32" s="13">
        <v>22421.25</v>
      </c>
      <c r="F32" s="14">
        <v>0.90723940985841234</v>
      </c>
      <c r="G32" s="15">
        <v>68.963778093952882</v>
      </c>
      <c r="H32" s="5" t="s">
        <v>113</v>
      </c>
      <c r="I32" s="16">
        <v>21086</v>
      </c>
      <c r="J32" s="16">
        <v>24300</v>
      </c>
      <c r="K32" s="16">
        <v>28300</v>
      </c>
      <c r="L32" s="17">
        <v>32500</v>
      </c>
      <c r="M32" s="18">
        <v>0.5413070283600494</v>
      </c>
      <c r="N32" s="25">
        <v>11414</v>
      </c>
      <c r="O32" s="19">
        <v>101642888.23529412</v>
      </c>
      <c r="P32" s="19">
        <v>39403184.87394958</v>
      </c>
      <c r="Q32" s="26">
        <v>2.5795602198261069</v>
      </c>
      <c r="R32" s="64">
        <v>3203.0357142857142</v>
      </c>
      <c r="S32" s="97">
        <v>7</v>
      </c>
      <c r="T32" s="91">
        <v>0.70801992437041528</v>
      </c>
      <c r="U32" s="93">
        <v>2.9841494480611379</v>
      </c>
    </row>
    <row r="33" spans="2:21" x14ac:dyDescent="0.25">
      <c r="B33" s="5" t="s">
        <v>114</v>
      </c>
      <c r="C33" s="6" t="s">
        <v>276</v>
      </c>
      <c r="D33" s="12" t="s">
        <v>41</v>
      </c>
      <c r="E33" s="13">
        <v>10513</v>
      </c>
      <c r="F33" s="14">
        <v>0.65655852160758155</v>
      </c>
      <c r="G33" s="15">
        <v>68.762940599310184</v>
      </c>
      <c r="H33" s="21" t="s">
        <v>115</v>
      </c>
      <c r="I33" s="22">
        <v>18377</v>
      </c>
      <c r="J33" s="23">
        <v>21500</v>
      </c>
      <c r="K33" s="23">
        <v>25200</v>
      </c>
      <c r="L33" s="24">
        <v>28900</v>
      </c>
      <c r="M33" s="18">
        <v>0.57261794634597596</v>
      </c>
      <c r="N33" s="25">
        <v>10523</v>
      </c>
      <c r="O33" s="19">
        <v>46826882.352941178</v>
      </c>
      <c r="P33" s="19">
        <v>26331106.12605042</v>
      </c>
      <c r="Q33" s="26">
        <v>1.7783864501846152</v>
      </c>
      <c r="R33" s="64">
        <v>3504.3333333333335</v>
      </c>
      <c r="S33" s="97">
        <v>3</v>
      </c>
      <c r="T33" s="91">
        <v>0.81346226530664023</v>
      </c>
      <c r="U33" s="93">
        <v>2.6196721311475408</v>
      </c>
    </row>
    <row r="34" spans="2:21" x14ac:dyDescent="0.25">
      <c r="B34" s="28" t="s">
        <v>116</v>
      </c>
      <c r="C34" s="29" t="s">
        <v>277</v>
      </c>
      <c r="D34" s="30" t="s">
        <v>38</v>
      </c>
      <c r="E34" s="13">
        <v>27674.75</v>
      </c>
      <c r="F34" s="14">
        <v>0.73684708649501718</v>
      </c>
      <c r="G34" s="15">
        <v>45.495250211802698</v>
      </c>
      <c r="H34" s="32" t="s">
        <v>117</v>
      </c>
      <c r="I34" s="22">
        <v>27208</v>
      </c>
      <c r="J34" s="23">
        <v>29300</v>
      </c>
      <c r="K34" s="23">
        <v>31600</v>
      </c>
      <c r="L34" s="24">
        <v>32500</v>
      </c>
      <c r="M34" s="18">
        <v>0.19450161717142023</v>
      </c>
      <c r="N34" s="25">
        <v>5292</v>
      </c>
      <c r="O34" s="19">
        <v>178708117.64705881</v>
      </c>
      <c r="P34" s="19">
        <v>59550150.764705881</v>
      </c>
      <c r="Q34" s="26">
        <v>3.0009683494029935</v>
      </c>
      <c r="R34" s="64">
        <v>2515.8863636363635</v>
      </c>
      <c r="S34" s="97">
        <v>11</v>
      </c>
      <c r="T34" s="91">
        <v>0.63199773902431844</v>
      </c>
      <c r="U34" s="93">
        <v>2.4489648964896489</v>
      </c>
    </row>
    <row r="35" spans="2:21" x14ac:dyDescent="0.25">
      <c r="B35" s="5" t="s">
        <v>118</v>
      </c>
      <c r="C35" s="6" t="s">
        <v>278</v>
      </c>
      <c r="D35" s="12" t="s">
        <v>51</v>
      </c>
      <c r="E35" s="13">
        <v>259</v>
      </c>
      <c r="F35" s="14">
        <v>0.23063245179026018</v>
      </c>
      <c r="G35" s="15">
        <v>26.455572010366531</v>
      </c>
      <c r="H35" s="31" t="s">
        <v>119</v>
      </c>
      <c r="I35" s="22">
        <v>2777</v>
      </c>
      <c r="J35" s="23">
        <v>3030</v>
      </c>
      <c r="K35" s="23">
        <v>3460</v>
      </c>
      <c r="L35" s="24">
        <v>3880</v>
      </c>
      <c r="M35" s="18">
        <v>0.39719121353979103</v>
      </c>
      <c r="N35" s="25">
        <v>1103</v>
      </c>
      <c r="O35" s="19">
        <v>1549557.2666666666</v>
      </c>
      <c r="P35" s="19">
        <v>572847.64761904755</v>
      </c>
      <c r="Q35" s="26">
        <v>2.7050076457626409</v>
      </c>
      <c r="R35" s="64">
        <v>259</v>
      </c>
      <c r="S35" s="97">
        <v>1</v>
      </c>
      <c r="T35" s="91">
        <v>0.67136783367696251</v>
      </c>
      <c r="U35" s="93">
        <v>2.966880341880342</v>
      </c>
    </row>
    <row r="36" spans="2:21" x14ac:dyDescent="0.25">
      <c r="B36" s="5" t="s">
        <v>120</v>
      </c>
      <c r="C36" s="6" t="s">
        <v>279</v>
      </c>
      <c r="D36" s="12" t="s">
        <v>56</v>
      </c>
      <c r="E36" s="13">
        <v>22509</v>
      </c>
      <c r="F36" s="14">
        <v>0.77706590122601626</v>
      </c>
      <c r="G36" s="15">
        <v>70.004540040909049</v>
      </c>
      <c r="H36" s="5" t="s">
        <v>121</v>
      </c>
      <c r="I36" s="16">
        <v>22172</v>
      </c>
      <c r="J36" s="16">
        <v>23300</v>
      </c>
      <c r="K36" s="16">
        <v>26000</v>
      </c>
      <c r="L36" s="17">
        <v>28800</v>
      </c>
      <c r="M36" s="18">
        <v>0.2989355944434422</v>
      </c>
      <c r="N36" s="25">
        <v>6628</v>
      </c>
      <c r="O36" s="19">
        <v>130406176.47058824</v>
      </c>
      <c r="P36" s="19">
        <v>57526865.546218492</v>
      </c>
      <c r="Q36" s="26">
        <v>2.2668743591777432</v>
      </c>
      <c r="R36" s="64">
        <v>4501.8</v>
      </c>
      <c r="S36" s="97">
        <v>5</v>
      </c>
      <c r="T36" s="91">
        <v>0.74565143353503371</v>
      </c>
      <c r="U36" s="93">
        <v>2.5382942186605608</v>
      </c>
    </row>
    <row r="37" spans="2:21" x14ac:dyDescent="0.25">
      <c r="B37" s="28" t="s">
        <v>122</v>
      </c>
      <c r="C37" s="29" t="s">
        <v>280</v>
      </c>
      <c r="D37" s="30" t="s">
        <v>51</v>
      </c>
      <c r="E37" s="13">
        <v>18344.75</v>
      </c>
      <c r="F37" s="14">
        <v>0.69452656816399361</v>
      </c>
      <c r="G37" s="15">
        <v>65.419437422561458</v>
      </c>
      <c r="H37" s="31" t="s">
        <v>123</v>
      </c>
      <c r="I37" s="22">
        <v>17591</v>
      </c>
      <c r="J37" s="23">
        <v>18900</v>
      </c>
      <c r="K37" s="23">
        <v>19600</v>
      </c>
      <c r="L37" s="24">
        <v>20100</v>
      </c>
      <c r="M37" s="18">
        <v>0.1426297538514012</v>
      </c>
      <c r="N37" s="25">
        <v>2509</v>
      </c>
      <c r="O37" s="19">
        <v>97692654.176470593</v>
      </c>
      <c r="P37" s="19">
        <v>62028615.806722686</v>
      </c>
      <c r="Q37" s="26">
        <v>1.574961054763415</v>
      </c>
      <c r="R37" s="64">
        <v>6114.916666666667</v>
      </c>
      <c r="S37" s="97">
        <v>3</v>
      </c>
      <c r="T37" s="91">
        <v>0.85488550234173777</v>
      </c>
      <c r="U37" s="93">
        <v>2.1026775041836001</v>
      </c>
    </row>
    <row r="38" spans="2:21" x14ac:dyDescent="0.25">
      <c r="B38" s="5" t="s">
        <v>124</v>
      </c>
      <c r="C38" s="6" t="s">
        <v>281</v>
      </c>
      <c r="D38" s="12" t="s">
        <v>41</v>
      </c>
      <c r="E38" s="13">
        <v>11380.25</v>
      </c>
      <c r="F38" s="14">
        <v>0.78847175321550156</v>
      </c>
      <c r="G38" s="15">
        <v>63.523509998245579</v>
      </c>
      <c r="H38" s="5" t="s">
        <v>125</v>
      </c>
      <c r="I38" s="16">
        <v>13332</v>
      </c>
      <c r="J38" s="16">
        <v>16900</v>
      </c>
      <c r="K38" s="16">
        <v>22800</v>
      </c>
      <c r="L38" s="17">
        <v>29000</v>
      </c>
      <c r="M38" s="18">
        <v>1.1752175217521752</v>
      </c>
      <c r="N38" s="25">
        <v>15668</v>
      </c>
      <c r="O38" s="19">
        <v>49041717.647058822</v>
      </c>
      <c r="P38" s="19">
        <v>15146678.151260504</v>
      </c>
      <c r="Q38" s="26">
        <v>3.2377870023585058</v>
      </c>
      <c r="R38" s="64">
        <v>2276.0500000000002</v>
      </c>
      <c r="S38" s="97">
        <v>5</v>
      </c>
      <c r="T38" s="91">
        <v>0.61227329349886395</v>
      </c>
      <c r="U38" s="93">
        <v>2.671743486973948</v>
      </c>
    </row>
    <row r="39" spans="2:21" x14ac:dyDescent="0.25">
      <c r="B39" s="28" t="s">
        <v>126</v>
      </c>
      <c r="C39" s="29" t="s">
        <v>127</v>
      </c>
      <c r="D39" s="30" t="s">
        <v>56</v>
      </c>
      <c r="E39" s="13">
        <v>35125</v>
      </c>
      <c r="F39" s="14">
        <v>0.73720946244456043</v>
      </c>
      <c r="G39" s="15">
        <v>50.109686540242777</v>
      </c>
      <c r="H39" s="21" t="s">
        <v>128</v>
      </c>
      <c r="I39" s="22">
        <v>33880</v>
      </c>
      <c r="J39" s="23">
        <v>37300</v>
      </c>
      <c r="K39" s="23">
        <v>42000</v>
      </c>
      <c r="L39" s="24">
        <v>46700</v>
      </c>
      <c r="M39" s="18">
        <v>0.37839433293978741</v>
      </c>
      <c r="N39" s="25">
        <v>12820</v>
      </c>
      <c r="O39" s="19">
        <v>141431823.52941176</v>
      </c>
      <c r="P39" s="19">
        <v>66929714.336134449</v>
      </c>
      <c r="Q39" s="26">
        <v>2.1131395066040888</v>
      </c>
      <c r="R39" s="64">
        <v>5017.8571428571431</v>
      </c>
      <c r="S39" s="97">
        <v>7</v>
      </c>
      <c r="T39" s="91">
        <v>0.76826314435275167</v>
      </c>
      <c r="U39" s="93">
        <v>2.5140991392104484</v>
      </c>
    </row>
    <row r="40" spans="2:21" x14ac:dyDescent="0.25">
      <c r="B40" s="28" t="s">
        <v>129</v>
      </c>
      <c r="C40" s="29" t="s">
        <v>130</v>
      </c>
      <c r="D40" s="30" t="s">
        <v>44</v>
      </c>
      <c r="E40" s="13">
        <v>6237.5</v>
      </c>
      <c r="F40" s="14">
        <v>0.70560630922435852</v>
      </c>
      <c r="G40" s="15">
        <v>46.329102149504486</v>
      </c>
      <c r="H40" s="27" t="s">
        <v>131</v>
      </c>
      <c r="I40" s="22">
        <v>5470</v>
      </c>
      <c r="J40" s="23">
        <v>6900</v>
      </c>
      <c r="K40" s="23">
        <v>8300</v>
      </c>
      <c r="L40" s="24">
        <v>9900</v>
      </c>
      <c r="M40" s="18">
        <v>0.80987202925045709</v>
      </c>
      <c r="N40" s="25">
        <v>4430</v>
      </c>
      <c r="O40" s="19">
        <v>21598470.588235293</v>
      </c>
      <c r="P40" s="19">
        <v>11940789.915966388</v>
      </c>
      <c r="Q40" s="26">
        <v>1.8087974698688343</v>
      </c>
      <c r="R40" s="64">
        <v>2079.1666666666665</v>
      </c>
      <c r="S40" s="97">
        <v>3</v>
      </c>
      <c r="T40" s="91">
        <v>0.82431257444167361</v>
      </c>
      <c r="U40" s="93">
        <v>2.923570283270978</v>
      </c>
    </row>
    <row r="41" spans="2:21" x14ac:dyDescent="0.25">
      <c r="B41" s="5" t="s">
        <v>132</v>
      </c>
      <c r="C41" s="6" t="s">
        <v>282</v>
      </c>
      <c r="D41" s="12" t="s">
        <v>41</v>
      </c>
      <c r="E41" s="13">
        <v>3465</v>
      </c>
      <c r="F41" s="14">
        <v>0.76635225782611949</v>
      </c>
      <c r="G41" s="15">
        <v>72.160161695230187</v>
      </c>
      <c r="H41" s="5" t="s">
        <v>133</v>
      </c>
      <c r="I41" s="16">
        <v>8061</v>
      </c>
      <c r="J41" s="16">
        <v>10500</v>
      </c>
      <c r="K41" s="16">
        <v>14100</v>
      </c>
      <c r="L41" s="17">
        <v>18200</v>
      </c>
      <c r="M41" s="18">
        <v>1.2577843939957822</v>
      </c>
      <c r="N41" s="25">
        <v>10139</v>
      </c>
      <c r="O41" s="19">
        <v>15919142.588235294</v>
      </c>
      <c r="P41" s="19">
        <v>4975967.5126050422</v>
      </c>
      <c r="Q41" s="26">
        <v>3.1992054907732363</v>
      </c>
      <c r="R41" s="64">
        <v>1155</v>
      </c>
      <c r="S41" s="97">
        <v>3</v>
      </c>
      <c r="T41" s="91">
        <v>0.62716512085176235</v>
      </c>
      <c r="U41" s="93">
        <v>2.9038184438040346</v>
      </c>
    </row>
    <row r="42" spans="2:21" x14ac:dyDescent="0.25">
      <c r="B42" s="5" t="s">
        <v>134</v>
      </c>
      <c r="C42" s="6" t="s">
        <v>135</v>
      </c>
      <c r="D42" s="12" t="s">
        <v>41</v>
      </c>
      <c r="E42" s="13">
        <v>2803.5</v>
      </c>
      <c r="F42" s="14">
        <v>0.83904827647681868</v>
      </c>
      <c r="G42" s="15">
        <v>55.316472804297959</v>
      </c>
      <c r="H42" s="5" t="s">
        <v>136</v>
      </c>
      <c r="I42" s="16">
        <v>1796</v>
      </c>
      <c r="J42" s="16">
        <v>1740</v>
      </c>
      <c r="K42" s="16">
        <v>1690</v>
      </c>
      <c r="L42" s="17">
        <v>1670</v>
      </c>
      <c r="M42" s="18">
        <v>-7.0155902004454318E-2</v>
      </c>
      <c r="N42" s="25">
        <v>-126</v>
      </c>
      <c r="O42" s="19">
        <v>11836705.882352941</v>
      </c>
      <c r="P42" s="19">
        <v>5089949.5798319327</v>
      </c>
      <c r="Q42" s="26">
        <v>2.3255055274523531</v>
      </c>
      <c r="R42" s="64">
        <v>1401.75</v>
      </c>
      <c r="S42" s="97">
        <v>2</v>
      </c>
      <c r="T42" s="91">
        <v>0.74071755086667179</v>
      </c>
      <c r="U42" s="93">
        <v>2.6372980910425845</v>
      </c>
    </row>
    <row r="43" spans="2:21" x14ac:dyDescent="0.25">
      <c r="B43" s="5" t="s">
        <v>137</v>
      </c>
      <c r="C43" s="6" t="s">
        <v>138</v>
      </c>
      <c r="D43" s="12" t="s">
        <v>56</v>
      </c>
      <c r="E43" s="13">
        <v>59027.25</v>
      </c>
      <c r="F43" s="14">
        <v>0.84486426310371177</v>
      </c>
      <c r="G43" s="15">
        <v>56.222766081396003</v>
      </c>
      <c r="H43" s="5" t="s">
        <v>139</v>
      </c>
      <c r="I43" s="16">
        <v>55954</v>
      </c>
      <c r="J43" s="16">
        <v>64300</v>
      </c>
      <c r="K43" s="16">
        <v>74600</v>
      </c>
      <c r="L43" s="17">
        <v>83500</v>
      </c>
      <c r="M43" s="18">
        <v>0.49229724416484966</v>
      </c>
      <c r="N43" s="25">
        <v>27546</v>
      </c>
      <c r="O43" s="19">
        <v>354548000</v>
      </c>
      <c r="P43" s="19">
        <v>120017647.05882351</v>
      </c>
      <c r="Q43" s="26">
        <v>2.9541322354555706</v>
      </c>
      <c r="R43" s="64">
        <v>3935.15</v>
      </c>
      <c r="S43" s="387">
        <v>16</v>
      </c>
      <c r="T43" s="91">
        <v>0.65593532442765923</v>
      </c>
      <c r="U43" s="93">
        <v>2.9949151635176365</v>
      </c>
    </row>
    <row r="44" spans="2:21" x14ac:dyDescent="0.25">
      <c r="B44" s="5" t="s">
        <v>140</v>
      </c>
      <c r="C44" s="33" t="s">
        <v>283</v>
      </c>
      <c r="D44" s="12" t="s">
        <v>38</v>
      </c>
      <c r="E44" s="13">
        <v>2061.5</v>
      </c>
      <c r="F44" s="14">
        <v>0.82465918155490747</v>
      </c>
      <c r="G44" s="15">
        <v>60.083782589482993</v>
      </c>
      <c r="H44" s="27" t="s">
        <v>141</v>
      </c>
      <c r="I44" s="22">
        <v>2049</v>
      </c>
      <c r="J44" s="23">
        <v>2100</v>
      </c>
      <c r="K44" s="23">
        <v>2270</v>
      </c>
      <c r="L44" s="24">
        <v>2430</v>
      </c>
      <c r="M44" s="18">
        <v>0.18594436310395324</v>
      </c>
      <c r="N44" s="25">
        <v>381</v>
      </c>
      <c r="O44" s="591">
        <v>21079235.294117648</v>
      </c>
      <c r="P44" s="591">
        <v>308357.44537815126</v>
      </c>
      <c r="Q44" s="86" t="s">
        <v>368</v>
      </c>
      <c r="R44" s="64">
        <v>2061.5</v>
      </c>
      <c r="S44" s="97">
        <v>1</v>
      </c>
      <c r="T44" s="91">
        <v>5.286880522382463E-2</v>
      </c>
      <c r="U44" s="93">
        <v>2.6035578144853875</v>
      </c>
    </row>
    <row r="45" spans="2:21" x14ac:dyDescent="0.25">
      <c r="B45" s="5" t="s">
        <v>142</v>
      </c>
      <c r="C45" s="6" t="s">
        <v>284</v>
      </c>
      <c r="D45" s="12" t="s">
        <v>38</v>
      </c>
      <c r="E45" s="13">
        <v>15517.25</v>
      </c>
      <c r="F45" s="14">
        <v>0.82448184141091074</v>
      </c>
      <c r="G45" s="15">
        <v>68.122242215192685</v>
      </c>
      <c r="H45" s="5" t="s">
        <v>143</v>
      </c>
      <c r="I45" s="16">
        <v>20216</v>
      </c>
      <c r="J45" s="16">
        <v>22800</v>
      </c>
      <c r="K45" s="16">
        <v>26900</v>
      </c>
      <c r="L45" s="17">
        <v>31100</v>
      </c>
      <c r="M45" s="18">
        <v>0.53838543727740396</v>
      </c>
      <c r="N45" s="25">
        <v>10884</v>
      </c>
      <c r="O45" s="19">
        <v>80170411.764705881</v>
      </c>
      <c r="P45" s="19">
        <v>25609638.655462183</v>
      </c>
      <c r="Q45" s="26">
        <v>3.1304780533327299</v>
      </c>
      <c r="R45" s="64">
        <v>3103.45</v>
      </c>
      <c r="S45" s="387">
        <v>6</v>
      </c>
      <c r="T45" s="91">
        <v>0.62399954298753046</v>
      </c>
      <c r="U45" s="93">
        <v>3.2743764172335599</v>
      </c>
    </row>
    <row r="46" spans="2:21" x14ac:dyDescent="0.25">
      <c r="B46" s="5" t="s">
        <v>144</v>
      </c>
      <c r="C46" s="6" t="s">
        <v>145</v>
      </c>
      <c r="D46" s="12" t="s">
        <v>51</v>
      </c>
      <c r="E46" s="13">
        <v>1760</v>
      </c>
      <c r="F46" s="14">
        <v>0.58830491280614461</v>
      </c>
      <c r="G46" s="15">
        <v>56.873443337484439</v>
      </c>
      <c r="H46" s="31" t="s">
        <v>146</v>
      </c>
      <c r="I46" s="22">
        <v>1768</v>
      </c>
      <c r="J46" s="23">
        <v>1810</v>
      </c>
      <c r="K46" s="23">
        <v>1960</v>
      </c>
      <c r="L46" s="24">
        <v>1990</v>
      </c>
      <c r="M46" s="18">
        <v>0.1255656108597285</v>
      </c>
      <c r="N46" s="25">
        <v>222</v>
      </c>
      <c r="O46" s="19">
        <v>8802074.7647058815</v>
      </c>
      <c r="P46" s="19">
        <v>5324556.3025210081</v>
      </c>
      <c r="Q46" s="26">
        <v>1.6531095296219103</v>
      </c>
      <c r="R46" s="64">
        <v>880</v>
      </c>
      <c r="S46" s="97">
        <v>2</v>
      </c>
      <c r="T46" s="91">
        <v>0.83939870418735318</v>
      </c>
      <c r="U46" s="93">
        <v>2.4153005464480874</v>
      </c>
    </row>
    <row r="47" spans="2:21" x14ac:dyDescent="0.25">
      <c r="B47" s="28" t="s">
        <v>147</v>
      </c>
      <c r="C47" s="29" t="s">
        <v>148</v>
      </c>
      <c r="D47" s="30" t="s">
        <v>51</v>
      </c>
      <c r="E47" s="13">
        <v>650</v>
      </c>
      <c r="F47" s="14">
        <v>0.70457147895596528</v>
      </c>
      <c r="G47" s="15">
        <v>53.114758693361431</v>
      </c>
      <c r="H47" s="31" t="s">
        <v>149</v>
      </c>
      <c r="I47" s="22">
        <v>650</v>
      </c>
      <c r="J47" s="23">
        <v>650</v>
      </c>
      <c r="K47" s="23">
        <v>680</v>
      </c>
      <c r="L47" s="24">
        <v>700</v>
      </c>
      <c r="M47" s="18">
        <v>7.6923076923076872E-2</v>
      </c>
      <c r="N47" s="25">
        <v>50</v>
      </c>
      <c r="O47" s="19">
        <v>2829490.7647058824</v>
      </c>
      <c r="P47" s="19">
        <v>1489705.3109243696</v>
      </c>
      <c r="Q47" s="26">
        <v>1.8993627423870625</v>
      </c>
      <c r="R47" s="64">
        <v>650</v>
      </c>
      <c r="S47" s="97">
        <v>1</v>
      </c>
      <c r="T47" s="91">
        <v>0.81214369734712277</v>
      </c>
      <c r="U47" s="93">
        <v>2.4163568773234201</v>
      </c>
    </row>
    <row r="48" spans="2:21" x14ac:dyDescent="0.25">
      <c r="B48" s="5" t="s">
        <v>150</v>
      </c>
      <c r="C48" s="6" t="s">
        <v>151</v>
      </c>
      <c r="D48" s="12" t="s">
        <v>41</v>
      </c>
      <c r="E48" s="13">
        <v>7600</v>
      </c>
      <c r="F48" s="14">
        <v>0.85334534371748205</v>
      </c>
      <c r="G48" s="15">
        <v>72.132182768565258</v>
      </c>
      <c r="H48" s="5" t="s">
        <v>152</v>
      </c>
      <c r="I48" s="16">
        <v>7676</v>
      </c>
      <c r="J48" s="16">
        <v>7800</v>
      </c>
      <c r="K48" s="16">
        <v>7700</v>
      </c>
      <c r="L48" s="17">
        <v>7700</v>
      </c>
      <c r="M48" s="18">
        <v>3.1266284523188137E-3</v>
      </c>
      <c r="N48" s="25">
        <v>24</v>
      </c>
      <c r="O48" s="19">
        <v>39287364.705882356</v>
      </c>
      <c r="P48" s="19">
        <v>16504998.319327733</v>
      </c>
      <c r="Q48" s="26">
        <v>2.380331336348938</v>
      </c>
      <c r="R48" s="64">
        <v>1900</v>
      </c>
      <c r="S48" s="97">
        <v>4</v>
      </c>
      <c r="T48" s="91">
        <v>0.72488220916250634</v>
      </c>
      <c r="U48" s="93">
        <v>2.7152458436505129</v>
      </c>
    </row>
    <row r="49" spans="2:21" x14ac:dyDescent="0.25">
      <c r="B49" s="28" t="s">
        <v>85</v>
      </c>
      <c r="C49" s="71" t="s">
        <v>335</v>
      </c>
      <c r="D49" s="30" t="s">
        <v>51</v>
      </c>
      <c r="E49" s="13">
        <v>68278.75</v>
      </c>
      <c r="F49" s="14">
        <v>0.714909158889243</v>
      </c>
      <c r="G49" s="15">
        <v>79.607391035789789</v>
      </c>
      <c r="H49" s="31" t="s">
        <v>86</v>
      </c>
      <c r="I49" s="22">
        <v>61567</v>
      </c>
      <c r="J49" s="23">
        <v>70900</v>
      </c>
      <c r="K49" s="23">
        <v>80500</v>
      </c>
      <c r="L49" s="24">
        <v>89700</v>
      </c>
      <c r="M49" s="18">
        <v>0.45694933974369389</v>
      </c>
      <c r="N49" s="25">
        <v>28133</v>
      </c>
      <c r="O49" s="19">
        <v>479024276.47058821</v>
      </c>
      <c r="P49" s="19">
        <v>177794046.88235292</v>
      </c>
      <c r="Q49" s="26">
        <v>2.6942649929531139</v>
      </c>
      <c r="R49" s="64">
        <v>6827.875</v>
      </c>
      <c r="S49" s="97">
        <v>10</v>
      </c>
      <c r="T49" s="91">
        <v>0.68305546401921824</v>
      </c>
      <c r="U49" s="93">
        <v>2.6923951545895832</v>
      </c>
    </row>
    <row r="50" spans="2:21" x14ac:dyDescent="0.25">
      <c r="B50" s="5" t="s">
        <v>153</v>
      </c>
      <c r="C50" s="6" t="s">
        <v>285</v>
      </c>
      <c r="D50" s="12" t="s">
        <v>51</v>
      </c>
      <c r="E50" s="13">
        <v>1983.75</v>
      </c>
      <c r="F50" s="14">
        <v>0.60601296447090935</v>
      </c>
      <c r="G50" s="15">
        <v>34.926528040327661</v>
      </c>
      <c r="H50" s="31" t="s">
        <v>154</v>
      </c>
      <c r="I50" s="22">
        <v>1768</v>
      </c>
      <c r="J50" s="23">
        <v>1870</v>
      </c>
      <c r="K50" s="23">
        <v>2090</v>
      </c>
      <c r="L50" s="24">
        <v>2320</v>
      </c>
      <c r="M50" s="18">
        <v>0.31221719457013575</v>
      </c>
      <c r="N50" s="25">
        <v>552</v>
      </c>
      <c r="O50" s="19">
        <v>8605297.2941176463</v>
      </c>
      <c r="P50" s="19">
        <v>5730805.8823529417</v>
      </c>
      <c r="Q50" s="87">
        <v>1.5015858974766918</v>
      </c>
      <c r="R50" s="64">
        <v>1983.75</v>
      </c>
      <c r="S50" s="97">
        <v>1</v>
      </c>
      <c r="T50" s="91">
        <v>0.88458135510819191</v>
      </c>
      <c r="U50" s="93">
        <v>2.4453665283540804</v>
      </c>
    </row>
    <row r="51" spans="2:21" x14ac:dyDescent="0.25">
      <c r="B51" s="5" t="s">
        <v>155</v>
      </c>
      <c r="C51" s="6" t="s">
        <v>286</v>
      </c>
      <c r="D51" s="12" t="s">
        <v>41</v>
      </c>
      <c r="E51" s="13">
        <v>105</v>
      </c>
      <c r="F51" s="14">
        <v>0.98873534231841187</v>
      </c>
      <c r="G51" s="15">
        <v>70.9972602739726</v>
      </c>
      <c r="H51" s="5" t="s">
        <v>156</v>
      </c>
      <c r="I51" s="16">
        <v>689</v>
      </c>
      <c r="J51" s="16">
        <v>740</v>
      </c>
      <c r="K51" s="16">
        <v>840</v>
      </c>
      <c r="L51" s="17">
        <v>940</v>
      </c>
      <c r="M51" s="18">
        <v>0.36429608127721336</v>
      </c>
      <c r="N51" s="25">
        <v>251</v>
      </c>
      <c r="O51" s="34">
        <v>311625</v>
      </c>
      <c r="P51" s="34">
        <v>169191.07142857142</v>
      </c>
      <c r="Q51" s="26">
        <v>1.8418525124806064</v>
      </c>
      <c r="R51" s="64">
        <v>105</v>
      </c>
      <c r="S51" s="97">
        <v>1</v>
      </c>
      <c r="T51" s="91">
        <v>0.77148594818703242</v>
      </c>
      <c r="U51" s="93">
        <v>2.2814569536423841</v>
      </c>
    </row>
    <row r="52" spans="2:21" x14ac:dyDescent="0.25">
      <c r="B52" s="5" t="s">
        <v>157</v>
      </c>
      <c r="C52" s="6" t="s">
        <v>287</v>
      </c>
      <c r="D52" s="12" t="s">
        <v>59</v>
      </c>
      <c r="E52" s="13">
        <v>1840.25</v>
      </c>
      <c r="F52" s="14">
        <v>0.93641841973306761</v>
      </c>
      <c r="G52" s="15">
        <v>59.093839989727421</v>
      </c>
      <c r="H52" s="5" t="s">
        <v>158</v>
      </c>
      <c r="I52" s="16">
        <v>1749</v>
      </c>
      <c r="J52" s="16">
        <v>2070</v>
      </c>
      <c r="K52" s="16">
        <v>2520</v>
      </c>
      <c r="L52" s="17">
        <v>2950</v>
      </c>
      <c r="M52" s="18">
        <v>0.68667810177244148</v>
      </c>
      <c r="N52" s="25">
        <v>1201</v>
      </c>
      <c r="O52" s="19">
        <v>5503521.176470588</v>
      </c>
      <c r="P52" s="19">
        <v>2762850.6470588231</v>
      </c>
      <c r="Q52" s="26">
        <v>1.9919720171372022</v>
      </c>
      <c r="R52" s="64">
        <v>920.125</v>
      </c>
      <c r="S52" s="97">
        <v>2</v>
      </c>
      <c r="T52" s="91">
        <v>0.79446995385091024</v>
      </c>
      <c r="U52" s="93">
        <v>2.9694397283531409</v>
      </c>
    </row>
    <row r="53" spans="2:21" x14ac:dyDescent="0.25">
      <c r="B53" s="5" t="s">
        <v>159</v>
      </c>
      <c r="C53" s="6" t="s">
        <v>288</v>
      </c>
      <c r="D53" s="12" t="s">
        <v>51</v>
      </c>
      <c r="E53" s="13">
        <v>3869.25</v>
      </c>
      <c r="F53" s="14">
        <v>0.51245818921278019</v>
      </c>
      <c r="G53" s="15">
        <v>55.246627563127262</v>
      </c>
      <c r="H53" s="31" t="s">
        <v>160</v>
      </c>
      <c r="I53" s="22">
        <v>4892</v>
      </c>
      <c r="J53" s="23">
        <v>6300</v>
      </c>
      <c r="K53" s="23">
        <v>7300</v>
      </c>
      <c r="L53" s="24">
        <v>8400</v>
      </c>
      <c r="M53" s="18">
        <v>0.71708912510220779</v>
      </c>
      <c r="N53" s="25">
        <v>3508</v>
      </c>
      <c r="O53" s="19">
        <v>22775605.882352941</v>
      </c>
      <c r="P53" s="19">
        <v>7153829.5126050422</v>
      </c>
      <c r="Q53" s="26">
        <v>3.1836942496633922</v>
      </c>
      <c r="R53" s="64">
        <v>483.65625</v>
      </c>
      <c r="S53" s="97">
        <v>8</v>
      </c>
      <c r="T53" s="91">
        <v>0.6295942498919519</v>
      </c>
      <c r="U53" s="93">
        <v>2.874265569917744</v>
      </c>
    </row>
    <row r="54" spans="2:21" x14ac:dyDescent="0.25">
      <c r="B54" s="5" t="s">
        <v>161</v>
      </c>
      <c r="C54" s="6" t="s">
        <v>289</v>
      </c>
      <c r="D54" s="12" t="s">
        <v>51</v>
      </c>
      <c r="E54" s="13">
        <v>565.75</v>
      </c>
      <c r="F54" s="14">
        <v>0.7943078344252571</v>
      </c>
      <c r="G54" s="15">
        <v>120.64206845481307</v>
      </c>
      <c r="H54" s="5" t="s">
        <v>162</v>
      </c>
      <c r="I54" s="16">
        <v>539</v>
      </c>
      <c r="J54" s="16">
        <v>520</v>
      </c>
      <c r="K54" s="16">
        <v>490</v>
      </c>
      <c r="L54" s="17">
        <v>510</v>
      </c>
      <c r="M54" s="18">
        <v>-5.3803339517625282E-2</v>
      </c>
      <c r="N54" s="25">
        <v>-29</v>
      </c>
      <c r="O54" s="19">
        <v>5622656.0588235296</v>
      </c>
      <c r="P54" s="19">
        <v>1873299.2605042015</v>
      </c>
      <c r="Q54" s="26">
        <v>3.0014724168044471</v>
      </c>
      <c r="R54" s="64">
        <v>282.875</v>
      </c>
      <c r="S54" s="97">
        <v>2</v>
      </c>
      <c r="T54" s="91">
        <v>0.64080934448558813</v>
      </c>
      <c r="U54" s="93">
        <v>2.6815920398009951</v>
      </c>
    </row>
    <row r="55" spans="2:21" x14ac:dyDescent="0.25">
      <c r="B55" s="28" t="s">
        <v>163</v>
      </c>
      <c r="C55" s="29" t="s">
        <v>290</v>
      </c>
      <c r="D55" s="30" t="s">
        <v>51</v>
      </c>
      <c r="E55" s="13">
        <v>51094.75</v>
      </c>
      <c r="F55" s="14">
        <v>0.67433268245977807</v>
      </c>
      <c r="G55" s="15">
        <v>75.859601960285033</v>
      </c>
      <c r="H55" s="31" t="s">
        <v>164</v>
      </c>
      <c r="I55" s="22">
        <v>49734</v>
      </c>
      <c r="J55" s="23">
        <v>53200</v>
      </c>
      <c r="K55" s="23">
        <v>58000</v>
      </c>
      <c r="L55" s="24">
        <v>61500</v>
      </c>
      <c r="M55" s="18">
        <v>0.23657859814211601</v>
      </c>
      <c r="N55" s="25">
        <v>11766</v>
      </c>
      <c r="O55" s="19">
        <v>352658235.29411763</v>
      </c>
      <c r="P55" s="19">
        <v>165370025.21008402</v>
      </c>
      <c r="Q55" s="26">
        <v>2.1325402523589445</v>
      </c>
      <c r="R55" s="64">
        <v>2838.5972222222222</v>
      </c>
      <c r="S55" s="97">
        <v>18</v>
      </c>
      <c r="T55" s="91">
        <v>0.75205700612355619</v>
      </c>
      <c r="U55" s="93">
        <v>2.2708552120907721</v>
      </c>
    </row>
    <row r="56" spans="2:21" x14ac:dyDescent="0.25">
      <c r="B56" s="5" t="s">
        <v>165</v>
      </c>
      <c r="C56" s="6" t="s">
        <v>291</v>
      </c>
      <c r="D56" s="12" t="s">
        <v>51</v>
      </c>
      <c r="E56" s="13">
        <v>3317.75</v>
      </c>
      <c r="F56" s="14">
        <v>0.84003801008911572</v>
      </c>
      <c r="G56" s="15">
        <v>99.194192920396006</v>
      </c>
      <c r="H56" s="5" t="s">
        <v>166</v>
      </c>
      <c r="I56" s="16">
        <v>6384</v>
      </c>
      <c r="J56" s="16">
        <v>8000</v>
      </c>
      <c r="K56" s="16">
        <v>9800</v>
      </c>
      <c r="L56" s="17">
        <v>12000</v>
      </c>
      <c r="M56" s="18">
        <v>0.87969924812030076</v>
      </c>
      <c r="N56" s="25">
        <v>5616</v>
      </c>
      <c r="O56" s="19">
        <v>16114589.411764706</v>
      </c>
      <c r="P56" s="19">
        <v>4299421.8151260503</v>
      </c>
      <c r="Q56" s="26">
        <v>3.748082906187761</v>
      </c>
      <c r="R56" s="64">
        <v>663.55</v>
      </c>
      <c r="S56" s="97">
        <v>5</v>
      </c>
      <c r="T56" s="91">
        <v>0.56172989590929079</v>
      </c>
      <c r="U56" s="93">
        <v>2.9338235294117645</v>
      </c>
    </row>
    <row r="57" spans="2:21" x14ac:dyDescent="0.25">
      <c r="B57" s="5" t="s">
        <v>87</v>
      </c>
      <c r="C57" s="6" t="s">
        <v>336</v>
      </c>
      <c r="D57" s="12" t="s">
        <v>51</v>
      </c>
      <c r="E57" s="13">
        <v>9255</v>
      </c>
      <c r="F57" s="14">
        <v>0.84087425485044243</v>
      </c>
      <c r="G57" s="15">
        <v>51.893397497095243</v>
      </c>
      <c r="H57" s="5" t="s">
        <v>88</v>
      </c>
      <c r="I57" s="16">
        <v>9052</v>
      </c>
      <c r="J57" s="16">
        <v>9000</v>
      </c>
      <c r="K57" s="16">
        <v>9300</v>
      </c>
      <c r="L57" s="17">
        <v>9400</v>
      </c>
      <c r="M57" s="18">
        <v>3.844454264250996E-2</v>
      </c>
      <c r="N57" s="25">
        <v>348</v>
      </c>
      <c r="O57" s="19">
        <v>30131882.352941178</v>
      </c>
      <c r="P57" s="19">
        <v>19566252.100840338</v>
      </c>
      <c r="Q57" s="26">
        <v>1.5399925441851516</v>
      </c>
      <c r="R57" s="64">
        <v>4627.5</v>
      </c>
      <c r="S57" s="97">
        <v>2</v>
      </c>
      <c r="T57" s="91">
        <v>0.8756167142379857</v>
      </c>
      <c r="U57" s="93">
        <v>2.2778057372924008</v>
      </c>
    </row>
    <row r="58" spans="2:21" x14ac:dyDescent="0.25">
      <c r="B58" s="5" t="s">
        <v>167</v>
      </c>
      <c r="C58" s="6" t="s">
        <v>292</v>
      </c>
      <c r="D58" s="12" t="s">
        <v>168</v>
      </c>
      <c r="E58" s="13">
        <v>12155</v>
      </c>
      <c r="F58" s="14">
        <v>0.76933869868007743</v>
      </c>
      <c r="G58" s="15">
        <v>65.997531879884818</v>
      </c>
      <c r="H58" s="5" t="s">
        <v>169</v>
      </c>
      <c r="I58" s="16">
        <v>12155</v>
      </c>
      <c r="J58" s="16">
        <v>12300</v>
      </c>
      <c r="K58" s="16">
        <v>12300</v>
      </c>
      <c r="L58" s="17">
        <v>12400</v>
      </c>
      <c r="M58" s="18">
        <v>2.0156314273961362E-2</v>
      </c>
      <c r="N58" s="25">
        <v>245</v>
      </c>
      <c r="O58" s="19">
        <v>63778588.235294119</v>
      </c>
      <c r="P58" s="19">
        <v>32255218.487394959</v>
      </c>
      <c r="Q58" s="26">
        <v>1.9773106872681145</v>
      </c>
      <c r="R58" s="64">
        <v>2431</v>
      </c>
      <c r="S58" s="97">
        <v>5</v>
      </c>
      <c r="T58" s="91">
        <v>0.79498317037488897</v>
      </c>
      <c r="U58" s="93">
        <v>2.4535728704077515</v>
      </c>
    </row>
    <row r="59" spans="2:21" x14ac:dyDescent="0.25">
      <c r="B59" s="5" t="s">
        <v>170</v>
      </c>
      <c r="C59" s="6" t="s">
        <v>293</v>
      </c>
      <c r="D59" s="12" t="s">
        <v>168</v>
      </c>
      <c r="E59" s="13">
        <v>22093.25</v>
      </c>
      <c r="F59" s="14">
        <v>0.5618765092059147</v>
      </c>
      <c r="G59" s="15">
        <v>67.657581214370168</v>
      </c>
      <c r="H59" s="31" t="s">
        <v>171</v>
      </c>
      <c r="I59" s="22">
        <v>21456</v>
      </c>
      <c r="J59" s="23">
        <v>22300</v>
      </c>
      <c r="K59" s="23">
        <v>23100</v>
      </c>
      <c r="L59" s="24">
        <v>24100</v>
      </c>
      <c r="M59" s="18">
        <v>0.12322893363161813</v>
      </c>
      <c r="N59" s="25">
        <v>2644</v>
      </c>
      <c r="O59" s="19">
        <v>131593294.11764705</v>
      </c>
      <c r="P59" s="19">
        <v>100600453.7815126</v>
      </c>
      <c r="Q59" s="26">
        <v>1.3080785341529941</v>
      </c>
      <c r="R59" s="64">
        <v>5523.3125</v>
      </c>
      <c r="S59" s="97">
        <v>4</v>
      </c>
      <c r="T59" s="91">
        <v>0.92240830125201123</v>
      </c>
      <c r="U59" s="93">
        <v>2.4067302299495235</v>
      </c>
    </row>
    <row r="60" spans="2:21" x14ac:dyDescent="0.25">
      <c r="B60" s="28" t="s">
        <v>172</v>
      </c>
      <c r="C60" s="29" t="s">
        <v>173</v>
      </c>
      <c r="D60" s="30" t="s">
        <v>59</v>
      </c>
      <c r="E60" s="13">
        <v>392.75</v>
      </c>
      <c r="F60" s="14">
        <v>0.69581846529371061</v>
      </c>
      <c r="G60" s="15">
        <v>41.084274042360249</v>
      </c>
      <c r="H60" s="27" t="s">
        <v>174</v>
      </c>
      <c r="I60" s="22">
        <v>372</v>
      </c>
      <c r="J60" s="23">
        <v>440</v>
      </c>
      <c r="K60" s="23">
        <v>590</v>
      </c>
      <c r="L60" s="24">
        <v>700</v>
      </c>
      <c r="M60" s="18">
        <v>0.88172043010752699</v>
      </c>
      <c r="N60" s="25">
        <v>328</v>
      </c>
      <c r="O60" s="19">
        <v>1221000</v>
      </c>
      <c r="P60" s="19">
        <v>907428.57142857125</v>
      </c>
      <c r="Q60" s="26">
        <v>1.3455604534005041</v>
      </c>
      <c r="R60" s="64">
        <v>392.75</v>
      </c>
      <c r="S60" s="97">
        <v>1</v>
      </c>
      <c r="T60" s="91">
        <v>0.92252818719845187</v>
      </c>
      <c r="U60" s="93">
        <v>2.547945205479452</v>
      </c>
    </row>
    <row r="61" spans="2:21" x14ac:dyDescent="0.25">
      <c r="B61" s="5" t="s">
        <v>175</v>
      </c>
      <c r="C61" s="6" t="s">
        <v>294</v>
      </c>
      <c r="D61" s="12" t="s">
        <v>176</v>
      </c>
      <c r="E61" s="13">
        <v>7410</v>
      </c>
      <c r="F61" s="14">
        <v>0.65608587945481223</v>
      </c>
      <c r="G61" s="15">
        <v>50.532730759987423</v>
      </c>
      <c r="H61" s="27" t="s">
        <v>177</v>
      </c>
      <c r="I61" s="22">
        <v>4280</v>
      </c>
      <c r="J61" s="22">
        <v>4960</v>
      </c>
      <c r="K61" s="22">
        <v>6100</v>
      </c>
      <c r="L61" s="24">
        <v>7200</v>
      </c>
      <c r="M61" s="18">
        <v>0.68224299065420557</v>
      </c>
      <c r="N61" s="25">
        <v>2920</v>
      </c>
      <c r="O61" s="19">
        <v>36644376.470588237</v>
      </c>
      <c r="P61" s="19">
        <v>18337212.773109246</v>
      </c>
      <c r="Q61" s="26">
        <v>1.9983613062681849</v>
      </c>
      <c r="R61" s="64" t="s">
        <v>322</v>
      </c>
      <c r="S61" s="86" t="s">
        <v>368</v>
      </c>
      <c r="T61" s="91">
        <v>0.81632971792672737</v>
      </c>
      <c r="U61" s="93">
        <v>2.6452410383189124</v>
      </c>
    </row>
    <row r="62" spans="2:21" x14ac:dyDescent="0.25">
      <c r="B62" s="5" t="s">
        <v>178</v>
      </c>
      <c r="C62" s="6" t="s">
        <v>179</v>
      </c>
      <c r="D62" s="12" t="s">
        <v>41</v>
      </c>
      <c r="E62" s="13">
        <v>3435</v>
      </c>
      <c r="F62" s="14">
        <v>0.60975685222112685</v>
      </c>
      <c r="G62" s="15">
        <v>46.101374249765712</v>
      </c>
      <c r="H62" s="21" t="s">
        <v>180</v>
      </c>
      <c r="I62" s="22">
        <v>3435</v>
      </c>
      <c r="J62" s="23">
        <v>3600</v>
      </c>
      <c r="K62" s="23">
        <v>4050</v>
      </c>
      <c r="L62" s="24">
        <v>4450</v>
      </c>
      <c r="M62" s="18">
        <v>0.29548762736535661</v>
      </c>
      <c r="N62" s="25">
        <v>1015</v>
      </c>
      <c r="O62" s="19">
        <v>11830000</v>
      </c>
      <c r="P62" s="19">
        <v>8077495.7983193276</v>
      </c>
      <c r="Q62" s="26">
        <v>1.4645628169143028</v>
      </c>
      <c r="R62" s="64">
        <v>1717.5</v>
      </c>
      <c r="S62" s="97">
        <v>2</v>
      </c>
      <c r="T62" s="91">
        <v>0.87968213683798935</v>
      </c>
      <c r="U62" s="93">
        <v>2.5369276218611523</v>
      </c>
    </row>
    <row r="63" spans="2:21" x14ac:dyDescent="0.25">
      <c r="B63" s="28" t="s">
        <v>181</v>
      </c>
      <c r="C63" s="29" t="s">
        <v>182</v>
      </c>
      <c r="D63" s="30" t="s">
        <v>168</v>
      </c>
      <c r="E63" s="13">
        <v>13265.5</v>
      </c>
      <c r="F63" s="14">
        <v>0.72541787237633548</v>
      </c>
      <c r="G63" s="15">
        <v>51.322331952851229</v>
      </c>
      <c r="H63" s="31" t="s">
        <v>183</v>
      </c>
      <c r="I63" s="22">
        <v>11460</v>
      </c>
      <c r="J63" s="23">
        <v>12000</v>
      </c>
      <c r="K63" s="23">
        <v>11900</v>
      </c>
      <c r="L63" s="24">
        <v>12000</v>
      </c>
      <c r="M63" s="18">
        <v>4.7120418848167533E-2</v>
      </c>
      <c r="N63" s="25">
        <v>540</v>
      </c>
      <c r="O63" s="19">
        <v>57579117.647058822</v>
      </c>
      <c r="P63" s="19">
        <v>30617464.957983196</v>
      </c>
      <c r="Q63" s="26">
        <v>1.8805971600220823</v>
      </c>
      <c r="R63" s="64">
        <v>2653.1</v>
      </c>
      <c r="S63" s="97">
        <v>5</v>
      </c>
      <c r="T63" s="91">
        <v>0.81409548734849602</v>
      </c>
      <c r="U63" s="93">
        <v>2.4832069339111591</v>
      </c>
    </row>
    <row r="64" spans="2:21" x14ac:dyDescent="0.25">
      <c r="B64" s="5" t="s">
        <v>184</v>
      </c>
      <c r="C64" s="6" t="s">
        <v>295</v>
      </c>
      <c r="D64" s="12" t="s">
        <v>59</v>
      </c>
      <c r="E64" s="13">
        <v>3637</v>
      </c>
      <c r="F64" s="14">
        <v>0.82706067963420704</v>
      </c>
      <c r="G64" s="15">
        <v>51.201374571093893</v>
      </c>
      <c r="H64" s="5" t="s">
        <v>185</v>
      </c>
      <c r="I64" s="16">
        <v>3549</v>
      </c>
      <c r="J64" s="16">
        <v>4580</v>
      </c>
      <c r="K64" s="16">
        <v>7200</v>
      </c>
      <c r="L64" s="17">
        <v>9200</v>
      </c>
      <c r="M64" s="18">
        <v>1.5922795153564384</v>
      </c>
      <c r="N64" s="25">
        <v>5651</v>
      </c>
      <c r="O64" s="19">
        <v>11697934.117647059</v>
      </c>
      <c r="P64" s="19">
        <v>7719965.3949579829</v>
      </c>
      <c r="Q64" s="26">
        <v>1.515283232394687</v>
      </c>
      <c r="R64" s="64">
        <v>1818.5</v>
      </c>
      <c r="S64" s="97">
        <v>2</v>
      </c>
      <c r="T64" s="91">
        <v>0.87773492630137984</v>
      </c>
      <c r="U64" s="93">
        <v>2.5550755939524836</v>
      </c>
    </row>
    <row r="65" spans="2:21" x14ac:dyDescent="0.25">
      <c r="B65" s="5" t="s">
        <v>186</v>
      </c>
      <c r="C65" s="6" t="s">
        <v>296</v>
      </c>
      <c r="D65" s="12" t="s">
        <v>41</v>
      </c>
      <c r="E65" s="13">
        <v>4706.75</v>
      </c>
      <c r="F65" s="14">
        <v>0.53578531339503188</v>
      </c>
      <c r="G65" s="15">
        <v>58.610084176688829</v>
      </c>
      <c r="H65" s="21" t="s">
        <v>187</v>
      </c>
      <c r="I65" s="22">
        <v>4445</v>
      </c>
      <c r="J65" s="23">
        <v>4880</v>
      </c>
      <c r="K65" s="23">
        <v>5300</v>
      </c>
      <c r="L65" s="24">
        <v>5700</v>
      </c>
      <c r="M65" s="18">
        <v>0.2823397075365579</v>
      </c>
      <c r="N65" s="25">
        <v>1255</v>
      </c>
      <c r="O65" s="19">
        <v>28669705.882352941</v>
      </c>
      <c r="P65" s="19">
        <v>15224487.394957984</v>
      </c>
      <c r="Q65" s="26">
        <v>1.8831311123058054</v>
      </c>
      <c r="R65" s="64">
        <v>2353.375</v>
      </c>
      <c r="S65" s="97">
        <v>2</v>
      </c>
      <c r="T65" s="91">
        <v>0.80580869852582016</v>
      </c>
      <c r="U65" s="93">
        <v>2.3260073260073262</v>
      </c>
    </row>
    <row r="66" spans="2:21" x14ac:dyDescent="0.25">
      <c r="B66" s="5" t="s">
        <v>188</v>
      </c>
      <c r="C66" s="6" t="s">
        <v>434</v>
      </c>
      <c r="D66" s="12" t="s">
        <v>41</v>
      </c>
      <c r="E66" s="13">
        <v>27976</v>
      </c>
      <c r="F66" s="14">
        <v>0.76853144870008949</v>
      </c>
      <c r="G66" s="15">
        <v>65.685484818689986</v>
      </c>
      <c r="H66" s="5" t="s">
        <v>189</v>
      </c>
      <c r="I66" s="16">
        <v>27401</v>
      </c>
      <c r="J66" s="16">
        <v>28500</v>
      </c>
      <c r="K66" s="16">
        <v>29500</v>
      </c>
      <c r="L66" s="17">
        <v>30200</v>
      </c>
      <c r="M66" s="18">
        <v>0.10214955658552616</v>
      </c>
      <c r="N66" s="25">
        <v>2799</v>
      </c>
      <c r="O66" s="19">
        <v>139238866.17647058</v>
      </c>
      <c r="P66" s="19">
        <v>62107721.327731095</v>
      </c>
      <c r="Q66" s="26">
        <v>2.2418930078231742</v>
      </c>
      <c r="R66" s="64">
        <v>4662.666666666667</v>
      </c>
      <c r="S66" s="97">
        <v>6</v>
      </c>
      <c r="T66" s="91">
        <v>0.72943809739417775</v>
      </c>
      <c r="U66" s="93">
        <v>2.501004016064257</v>
      </c>
    </row>
    <row r="67" spans="2:21" x14ac:dyDescent="0.25">
      <c r="B67" s="5" t="s">
        <v>190</v>
      </c>
      <c r="C67" s="6" t="s">
        <v>191</v>
      </c>
      <c r="D67" s="12" t="s">
        <v>51</v>
      </c>
      <c r="E67" s="13">
        <v>2970</v>
      </c>
      <c r="F67" s="14">
        <v>0.65130215185173346</v>
      </c>
      <c r="G67" s="15">
        <v>61.082745260827458</v>
      </c>
      <c r="H67" s="31" t="s">
        <v>192</v>
      </c>
      <c r="I67" s="22">
        <v>7437</v>
      </c>
      <c r="J67" s="23">
        <v>8100</v>
      </c>
      <c r="K67" s="23">
        <v>8800</v>
      </c>
      <c r="L67" s="24">
        <v>9500</v>
      </c>
      <c r="M67" s="18">
        <v>0.27739679978485943</v>
      </c>
      <c r="N67" s="25">
        <v>2063</v>
      </c>
      <c r="O67" s="19">
        <v>23598682.352941178</v>
      </c>
      <c r="P67" s="19">
        <v>9200436.1344537828</v>
      </c>
      <c r="Q67" s="26">
        <v>2.5649525748642348</v>
      </c>
      <c r="R67" s="64">
        <v>990</v>
      </c>
      <c r="S67" s="97">
        <v>3</v>
      </c>
      <c r="T67" s="91">
        <v>0.87099684196406224</v>
      </c>
      <c r="U67" s="93">
        <v>2.6316348195329087</v>
      </c>
    </row>
    <row r="68" spans="2:21" x14ac:dyDescent="0.25">
      <c r="B68" s="28" t="s">
        <v>89</v>
      </c>
      <c r="C68" s="71" t="s">
        <v>371</v>
      </c>
      <c r="D68" s="30" t="s">
        <v>51</v>
      </c>
      <c r="E68" s="13">
        <v>73747.666666666672</v>
      </c>
      <c r="F68" s="14">
        <v>0.74730270126337028</v>
      </c>
      <c r="G68" s="15">
        <v>75.830401469555028</v>
      </c>
      <c r="H68" s="31" t="s">
        <v>90</v>
      </c>
      <c r="I68" s="22">
        <v>70576</v>
      </c>
      <c r="J68" s="23">
        <v>75400</v>
      </c>
      <c r="K68" s="23">
        <v>80200</v>
      </c>
      <c r="L68" s="24">
        <v>83600</v>
      </c>
      <c r="M68" s="18">
        <v>0.18453865336658359</v>
      </c>
      <c r="N68" s="25">
        <v>13024</v>
      </c>
      <c r="O68" s="19">
        <v>460859823.52941179</v>
      </c>
      <c r="P68" s="19">
        <v>193723857.14285713</v>
      </c>
      <c r="Q68" s="26">
        <v>2.3789523413709519</v>
      </c>
      <c r="R68" s="64">
        <v>4338.0980392156862</v>
      </c>
      <c r="S68" s="97">
        <v>17</v>
      </c>
      <c r="T68" s="91">
        <v>0.71235843166665502</v>
      </c>
      <c r="U68" s="93">
        <v>2.4622684296828665</v>
      </c>
    </row>
    <row r="69" spans="2:21" x14ac:dyDescent="0.25">
      <c r="B69" s="5" t="s">
        <v>193</v>
      </c>
      <c r="C69" s="6" t="s">
        <v>297</v>
      </c>
      <c r="D69" s="12" t="s">
        <v>44</v>
      </c>
      <c r="E69" s="13">
        <v>24438.25</v>
      </c>
      <c r="F69" s="14">
        <v>0.9326121148552351</v>
      </c>
      <c r="G69" s="15">
        <v>76.795613097534471</v>
      </c>
      <c r="H69" s="5" t="s">
        <v>194</v>
      </c>
      <c r="I69" s="16">
        <v>22206</v>
      </c>
      <c r="J69" s="16">
        <v>27500</v>
      </c>
      <c r="K69" s="16">
        <v>32500</v>
      </c>
      <c r="L69" s="17">
        <v>37600</v>
      </c>
      <c r="M69" s="18">
        <v>0.69323606232549762</v>
      </c>
      <c r="N69" s="25">
        <v>15394</v>
      </c>
      <c r="O69" s="19">
        <v>112571352.94117647</v>
      </c>
      <c r="P69" s="19">
        <v>41563924.47899159</v>
      </c>
      <c r="Q69" s="26">
        <v>2.7083908546238327</v>
      </c>
      <c r="R69" s="64">
        <v>4073.0416666666665</v>
      </c>
      <c r="S69" s="387">
        <v>7</v>
      </c>
      <c r="T69" s="91">
        <v>0.68471580834904977</v>
      </c>
      <c r="U69" s="93">
        <v>2.7047503045066992</v>
      </c>
    </row>
    <row r="70" spans="2:21" x14ac:dyDescent="0.25">
      <c r="B70" s="5" t="s">
        <v>195</v>
      </c>
      <c r="C70" s="6" t="s">
        <v>298</v>
      </c>
      <c r="D70" s="12" t="s">
        <v>38</v>
      </c>
      <c r="E70" s="13">
        <v>12681.5</v>
      </c>
      <c r="F70" s="14">
        <v>0.59879028838217618</v>
      </c>
      <c r="G70" s="15">
        <v>78.171200740589114</v>
      </c>
      <c r="H70" s="27" t="s">
        <v>168</v>
      </c>
      <c r="I70" s="22">
        <v>23668</v>
      </c>
      <c r="J70" s="23">
        <v>26400</v>
      </c>
      <c r="K70" s="23">
        <v>30700</v>
      </c>
      <c r="L70" s="24">
        <v>34700</v>
      </c>
      <c r="M70" s="18">
        <v>0.46611458509379755</v>
      </c>
      <c r="N70" s="25">
        <v>11032</v>
      </c>
      <c r="O70" s="19">
        <v>100799077.11764705</v>
      </c>
      <c r="P70" s="19">
        <v>27154656</v>
      </c>
      <c r="Q70" s="26">
        <v>3.7120366068215724</v>
      </c>
      <c r="R70" s="64">
        <v>1585.1875</v>
      </c>
      <c r="S70" s="97">
        <v>8</v>
      </c>
      <c r="T70" s="91">
        <v>0.56099231492769785</v>
      </c>
      <c r="U70" s="93">
        <v>2.9463463214241257</v>
      </c>
    </row>
    <row r="71" spans="2:21" x14ac:dyDescent="0.25">
      <c r="B71" s="28" t="s">
        <v>196</v>
      </c>
      <c r="C71" s="29" t="s">
        <v>299</v>
      </c>
      <c r="D71" s="30" t="s">
        <v>56</v>
      </c>
      <c r="E71" s="13">
        <v>321.5</v>
      </c>
      <c r="F71" s="14">
        <v>0.70819124830960334</v>
      </c>
      <c r="G71" s="15">
        <v>124.27069174886554</v>
      </c>
      <c r="H71" s="21" t="s">
        <v>197</v>
      </c>
      <c r="I71" s="22">
        <v>436</v>
      </c>
      <c r="J71" s="23">
        <v>440</v>
      </c>
      <c r="K71" s="23">
        <v>440</v>
      </c>
      <c r="L71" s="24">
        <v>420</v>
      </c>
      <c r="M71" s="18">
        <v>-3.669724770642202E-2</v>
      </c>
      <c r="N71" s="25">
        <v>-16</v>
      </c>
      <c r="O71" s="19">
        <v>2963688.2352941176</v>
      </c>
      <c r="P71" s="19">
        <v>1133604.2016806721</v>
      </c>
      <c r="Q71" s="26">
        <v>2.6143941870541569</v>
      </c>
      <c r="R71" s="64">
        <v>321.5</v>
      </c>
      <c r="S71" s="97">
        <v>1</v>
      </c>
      <c r="T71" s="91">
        <v>0.6945318560400161</v>
      </c>
      <c r="U71" s="93">
        <v>2.5952380952380953</v>
      </c>
    </row>
    <row r="72" spans="2:21" x14ac:dyDescent="0.25">
      <c r="B72" s="28" t="s">
        <v>198</v>
      </c>
      <c r="C72" s="29" t="s">
        <v>300</v>
      </c>
      <c r="D72" s="30" t="s">
        <v>51</v>
      </c>
      <c r="E72" s="13">
        <v>36098.25</v>
      </c>
      <c r="F72" s="14">
        <v>0.68961678500186474</v>
      </c>
      <c r="G72" s="15">
        <v>51.505589435377516</v>
      </c>
      <c r="H72" s="31" t="s">
        <v>199</v>
      </c>
      <c r="I72" s="22">
        <v>35228</v>
      </c>
      <c r="J72" s="23">
        <v>35700</v>
      </c>
      <c r="K72" s="23">
        <v>35600</v>
      </c>
      <c r="L72" s="24">
        <v>35900</v>
      </c>
      <c r="M72" s="18">
        <v>1.9075735210627887E-2</v>
      </c>
      <c r="N72" s="25">
        <v>672</v>
      </c>
      <c r="O72" s="19">
        <v>147754882.35294119</v>
      </c>
      <c r="P72" s="19">
        <v>85386991.596638665</v>
      </c>
      <c r="Q72" s="26">
        <v>1.7304144295295407</v>
      </c>
      <c r="R72" s="64">
        <v>5156.8928571428569</v>
      </c>
      <c r="S72" s="97">
        <v>7</v>
      </c>
      <c r="T72" s="91">
        <v>0.84293747144552489</v>
      </c>
      <c r="U72" s="93">
        <v>2.377378863544338</v>
      </c>
    </row>
    <row r="73" spans="2:21" x14ac:dyDescent="0.25">
      <c r="B73" s="5" t="s">
        <v>91</v>
      </c>
      <c r="C73" s="6" t="s">
        <v>337</v>
      </c>
      <c r="D73" s="12" t="s">
        <v>51</v>
      </c>
      <c r="E73" s="13">
        <v>14017.75</v>
      </c>
      <c r="F73" s="14">
        <v>0.9008078070369312</v>
      </c>
      <c r="G73" s="15">
        <v>60.422903153853618</v>
      </c>
      <c r="H73" s="5" t="s">
        <v>92</v>
      </c>
      <c r="I73" s="16">
        <v>13953</v>
      </c>
      <c r="J73" s="16">
        <v>14750</v>
      </c>
      <c r="K73" s="16">
        <v>15100</v>
      </c>
      <c r="L73" s="17">
        <v>15300</v>
      </c>
      <c r="M73" s="18">
        <v>9.6538378843259443E-2</v>
      </c>
      <c r="N73" s="25">
        <v>1347</v>
      </c>
      <c r="O73" s="19">
        <v>53495117.647058822</v>
      </c>
      <c r="P73" s="19">
        <v>35831100.840336137</v>
      </c>
      <c r="Q73" s="26">
        <v>1.4929800199394871</v>
      </c>
      <c r="R73" s="64">
        <v>2803.55</v>
      </c>
      <c r="S73" s="97">
        <v>5</v>
      </c>
      <c r="T73" s="91">
        <v>0.88898820046127769</v>
      </c>
      <c r="U73" s="93">
        <v>2.313163129973475</v>
      </c>
    </row>
    <row r="74" spans="2:21" x14ac:dyDescent="0.25">
      <c r="B74" s="5" t="s">
        <v>200</v>
      </c>
      <c r="C74" s="6" t="s">
        <v>301</v>
      </c>
      <c r="D74" s="12" t="s">
        <v>51</v>
      </c>
      <c r="E74" s="13">
        <v>9330</v>
      </c>
      <c r="F74" s="14">
        <v>0.64927418005994597</v>
      </c>
      <c r="G74" s="15">
        <v>90.919995888942722</v>
      </c>
      <c r="H74" s="31" t="s">
        <v>201</v>
      </c>
      <c r="I74" s="22">
        <v>11197</v>
      </c>
      <c r="J74" s="23">
        <v>14200</v>
      </c>
      <c r="K74" s="23">
        <v>18400</v>
      </c>
      <c r="L74" s="24">
        <v>22800</v>
      </c>
      <c r="M74" s="18">
        <v>1.0362597124229707</v>
      </c>
      <c r="N74" s="25">
        <v>11603</v>
      </c>
      <c r="O74" s="19">
        <v>78520823.529411763</v>
      </c>
      <c r="P74" s="19">
        <v>22531168.06722689</v>
      </c>
      <c r="Q74" s="26">
        <v>3.4849868100547177</v>
      </c>
      <c r="R74" s="64">
        <v>1555</v>
      </c>
      <c r="S74" s="97">
        <v>6</v>
      </c>
      <c r="T74" s="91">
        <v>0.58868258671687823</v>
      </c>
      <c r="U74" s="93">
        <v>2.9874599786552829</v>
      </c>
    </row>
    <row r="75" spans="2:21" x14ac:dyDescent="0.25">
      <c r="B75" s="5" t="s">
        <v>202</v>
      </c>
      <c r="C75" s="6" t="s">
        <v>302</v>
      </c>
      <c r="D75" s="12" t="s">
        <v>56</v>
      </c>
      <c r="E75" s="13">
        <v>23143.25</v>
      </c>
      <c r="F75" s="14">
        <v>0.79670342662666105</v>
      </c>
      <c r="G75" s="15">
        <v>78.625339587610171</v>
      </c>
      <c r="H75" s="5" t="s">
        <v>203</v>
      </c>
      <c r="I75" s="16">
        <v>21874</v>
      </c>
      <c r="J75" s="16">
        <v>25900</v>
      </c>
      <c r="K75" s="16">
        <v>31700</v>
      </c>
      <c r="L75" s="17">
        <v>38000</v>
      </c>
      <c r="M75" s="18">
        <v>0.73722227301819521</v>
      </c>
      <c r="N75" s="25">
        <v>16126</v>
      </c>
      <c r="O75" s="19">
        <v>130757388.23529412</v>
      </c>
      <c r="P75" s="19">
        <v>42678275.630252101</v>
      </c>
      <c r="Q75" s="26">
        <v>3.0637926744774093</v>
      </c>
      <c r="R75" s="64">
        <v>2892.90625</v>
      </c>
      <c r="S75" s="97">
        <v>8</v>
      </c>
      <c r="T75" s="91">
        <v>0.63130932163886988</v>
      </c>
      <c r="U75" s="93">
        <v>2.8830894951891395</v>
      </c>
    </row>
    <row r="76" spans="2:21" x14ac:dyDescent="0.25">
      <c r="B76" s="28" t="s">
        <v>204</v>
      </c>
      <c r="C76" s="71" t="s">
        <v>435</v>
      </c>
      <c r="D76" s="30" t="s">
        <v>44</v>
      </c>
      <c r="E76" s="13">
        <v>28867</v>
      </c>
      <c r="F76" s="14">
        <v>0.71223291835263625</v>
      </c>
      <c r="G76" s="15">
        <v>57.769335132167321</v>
      </c>
      <c r="H76" s="27" t="s">
        <v>205</v>
      </c>
      <c r="I76" s="22">
        <v>26911</v>
      </c>
      <c r="J76" s="23">
        <v>33400</v>
      </c>
      <c r="K76" s="23">
        <v>37400</v>
      </c>
      <c r="L76" s="24">
        <v>41100</v>
      </c>
      <c r="M76" s="18">
        <v>0.52725651220690417</v>
      </c>
      <c r="N76" s="25">
        <v>14189</v>
      </c>
      <c r="O76" s="19">
        <v>113083409.35294117</v>
      </c>
      <c r="P76" s="19">
        <v>36694122.033613443</v>
      </c>
      <c r="Q76" s="26">
        <v>3.081785394656718</v>
      </c>
      <c r="R76" s="64">
        <v>4123.8571428571431</v>
      </c>
      <c r="S76" s="97">
        <v>7</v>
      </c>
      <c r="T76" s="91">
        <v>0.66412953571582301</v>
      </c>
      <c r="U76" s="93">
        <v>2.9520623080298378</v>
      </c>
    </row>
    <row r="77" spans="2:21" x14ac:dyDescent="0.25">
      <c r="B77" s="5" t="s">
        <v>206</v>
      </c>
      <c r="C77" s="6" t="s">
        <v>207</v>
      </c>
      <c r="D77" s="12" t="s">
        <v>44</v>
      </c>
      <c r="E77" s="13">
        <v>39392.25</v>
      </c>
      <c r="F77" s="14">
        <v>0.60398162283188472</v>
      </c>
      <c r="G77" s="15">
        <v>67.753140024674565</v>
      </c>
      <c r="H77" s="32" t="s">
        <v>208</v>
      </c>
      <c r="I77" s="22">
        <v>36946</v>
      </c>
      <c r="J77" s="23">
        <v>43000</v>
      </c>
      <c r="K77" s="23">
        <v>48100</v>
      </c>
      <c r="L77" s="24">
        <v>53100</v>
      </c>
      <c r="M77" s="18">
        <v>0.43723271802089525</v>
      </c>
      <c r="N77" s="25">
        <v>16154</v>
      </c>
      <c r="O77" s="19">
        <v>278726117.64705884</v>
      </c>
      <c r="P77" s="19">
        <v>91259319.327731118</v>
      </c>
      <c r="Q77" s="26">
        <v>3.0542208697184736</v>
      </c>
      <c r="R77" s="64">
        <v>2073.2763157894738</v>
      </c>
      <c r="S77" s="97">
        <v>19</v>
      </c>
      <c r="T77" s="91">
        <v>0.63261281089904697</v>
      </c>
      <c r="U77" s="93">
        <v>2.9041031284389245</v>
      </c>
    </row>
    <row r="78" spans="2:21" x14ac:dyDescent="0.25">
      <c r="B78" s="28" t="s">
        <v>209</v>
      </c>
      <c r="C78" s="29" t="s">
        <v>303</v>
      </c>
      <c r="D78" s="30" t="s">
        <v>168</v>
      </c>
      <c r="E78" s="13">
        <v>27550</v>
      </c>
      <c r="F78" s="14">
        <v>0.73254188649836882</v>
      </c>
      <c r="G78" s="15">
        <v>62.967584590905695</v>
      </c>
      <c r="H78" s="31" t="s">
        <v>210</v>
      </c>
      <c r="I78" s="22">
        <v>25043</v>
      </c>
      <c r="J78" s="23">
        <v>25500</v>
      </c>
      <c r="K78" s="23">
        <v>25500</v>
      </c>
      <c r="L78" s="24">
        <v>25600</v>
      </c>
      <c r="M78" s="18">
        <v>2.2241744199976043E-2</v>
      </c>
      <c r="N78" s="25">
        <v>557</v>
      </c>
      <c r="O78" s="19">
        <v>159044636.29411766</v>
      </c>
      <c r="P78" s="19">
        <v>64110738.294117637</v>
      </c>
      <c r="Q78" s="26">
        <v>2.4807799836039401</v>
      </c>
      <c r="R78" s="64">
        <v>5510</v>
      </c>
      <c r="S78" s="97">
        <v>5</v>
      </c>
      <c r="T78" s="91">
        <v>0.7093735929078212</v>
      </c>
      <c r="U78" s="93">
        <v>2.4075177850413381</v>
      </c>
    </row>
    <row r="79" spans="2:21" x14ac:dyDescent="0.25">
      <c r="B79" s="5" t="s">
        <v>211</v>
      </c>
      <c r="C79" s="6" t="s">
        <v>5</v>
      </c>
      <c r="D79" s="12" t="s">
        <v>51</v>
      </c>
      <c r="E79" s="13">
        <v>3787.5</v>
      </c>
      <c r="F79" s="14">
        <v>0.8907014496326473</v>
      </c>
      <c r="G79" s="15">
        <v>89.449719969257202</v>
      </c>
      <c r="H79" s="5" t="s">
        <v>212</v>
      </c>
      <c r="I79" s="16">
        <v>7307</v>
      </c>
      <c r="J79" s="16">
        <v>7400</v>
      </c>
      <c r="K79" s="16">
        <v>7500</v>
      </c>
      <c r="L79" s="17">
        <v>7600</v>
      </c>
      <c r="M79" s="18">
        <v>4.0098535650745948E-2</v>
      </c>
      <c r="N79" s="25">
        <v>293</v>
      </c>
      <c r="O79" s="19">
        <v>14384529.411764706</v>
      </c>
      <c r="P79" s="19">
        <v>4546773.1092436975</v>
      </c>
      <c r="Q79" s="26">
        <v>3.1636787378988882</v>
      </c>
      <c r="R79" s="64">
        <v>757.5</v>
      </c>
      <c r="S79" s="97">
        <v>5</v>
      </c>
      <c r="T79" s="91">
        <v>0.6073562126968044</v>
      </c>
      <c r="U79" s="93">
        <v>2.7490594431903688</v>
      </c>
    </row>
    <row r="80" spans="2:21" x14ac:dyDescent="0.25">
      <c r="B80" s="5" t="s">
        <v>213</v>
      </c>
      <c r="C80" s="6" t="s">
        <v>304</v>
      </c>
      <c r="D80" s="12" t="s">
        <v>56</v>
      </c>
      <c r="E80" s="13">
        <v>20280</v>
      </c>
      <c r="F80" s="14">
        <v>0.42215671393203463</v>
      </c>
      <c r="G80" s="15">
        <v>49.290920266947666</v>
      </c>
      <c r="H80" s="21" t="s">
        <v>214</v>
      </c>
      <c r="I80" s="22">
        <v>20160</v>
      </c>
      <c r="J80" s="23">
        <v>21500</v>
      </c>
      <c r="K80" s="23">
        <v>21500</v>
      </c>
      <c r="L80" s="24">
        <v>21800</v>
      </c>
      <c r="M80" s="18">
        <v>8.1349206349206282E-2</v>
      </c>
      <c r="N80" s="25">
        <v>1640</v>
      </c>
      <c r="O80" s="19">
        <v>119914705.88235295</v>
      </c>
      <c r="P80" s="19">
        <v>86362857.142857149</v>
      </c>
      <c r="Q80" s="26">
        <v>1.3884985959183356</v>
      </c>
      <c r="R80" s="64">
        <v>5070</v>
      </c>
      <c r="S80" s="97">
        <v>4</v>
      </c>
      <c r="T80" s="91">
        <v>0.91300183072450092</v>
      </c>
      <c r="U80" s="93">
        <v>2.4627412655753727</v>
      </c>
    </row>
    <row r="81" spans="2:21" x14ac:dyDescent="0.25">
      <c r="B81" s="28" t="s">
        <v>215</v>
      </c>
      <c r="C81" s="29" t="s">
        <v>305</v>
      </c>
      <c r="D81" s="30" t="s">
        <v>216</v>
      </c>
      <c r="E81" s="13">
        <v>6452.75</v>
      </c>
      <c r="F81" s="14">
        <v>0.70260060265286628</v>
      </c>
      <c r="G81" s="15">
        <v>67.82910333971445</v>
      </c>
      <c r="H81" s="27" t="s">
        <v>217</v>
      </c>
      <c r="I81" s="22">
        <v>6412</v>
      </c>
      <c r="J81" s="22">
        <v>6700</v>
      </c>
      <c r="K81" s="22">
        <v>7000</v>
      </c>
      <c r="L81" s="35">
        <v>7400</v>
      </c>
      <c r="M81" s="18">
        <v>0.15408608858390527</v>
      </c>
      <c r="N81" s="25">
        <v>988</v>
      </c>
      <c r="O81" s="19">
        <v>39456176.470588237</v>
      </c>
      <c r="P81" s="19">
        <v>17364067.226890758</v>
      </c>
      <c r="Q81" s="26">
        <v>2.2722888569266</v>
      </c>
      <c r="R81" s="64">
        <v>1613.1875</v>
      </c>
      <c r="S81" s="97">
        <v>4</v>
      </c>
      <c r="T81" s="91">
        <v>0.74194116035322133</v>
      </c>
      <c r="U81" s="93">
        <v>2.3997005988023954</v>
      </c>
    </row>
    <row r="82" spans="2:21" x14ac:dyDescent="0.25">
      <c r="B82" s="5" t="s">
        <v>218</v>
      </c>
      <c r="C82" s="6" t="s">
        <v>306</v>
      </c>
      <c r="D82" s="12" t="s">
        <v>51</v>
      </c>
      <c r="E82" s="13">
        <v>1761.75</v>
      </c>
      <c r="F82" s="14">
        <v>0.65474091533694789</v>
      </c>
      <c r="G82" s="15">
        <v>58.343451308338729</v>
      </c>
      <c r="H82" s="31" t="s">
        <v>219</v>
      </c>
      <c r="I82" s="22">
        <v>1669</v>
      </c>
      <c r="J82" s="23">
        <v>1730</v>
      </c>
      <c r="K82" s="23">
        <v>1860</v>
      </c>
      <c r="L82" s="24">
        <v>1950</v>
      </c>
      <c r="M82" s="18">
        <v>0.16836428999400832</v>
      </c>
      <c r="N82" s="25">
        <v>281</v>
      </c>
      <c r="O82" s="19">
        <v>8526584.1176470593</v>
      </c>
      <c r="P82" s="19">
        <v>5440911.4957983196</v>
      </c>
      <c r="Q82" s="26">
        <v>1.5671242078154761</v>
      </c>
      <c r="R82" s="64">
        <v>1761.75</v>
      </c>
      <c r="S82" s="97">
        <v>1</v>
      </c>
      <c r="T82" s="91">
        <v>0.87500356937475532</v>
      </c>
      <c r="U82" s="93">
        <v>1.8606465997770345</v>
      </c>
    </row>
    <row r="83" spans="2:21" x14ac:dyDescent="0.25">
      <c r="B83" s="28" t="s">
        <v>220</v>
      </c>
      <c r="C83" s="29" t="s">
        <v>307</v>
      </c>
      <c r="D83" s="30" t="s">
        <v>221</v>
      </c>
      <c r="E83" s="13">
        <v>8226</v>
      </c>
      <c r="F83" s="14">
        <v>0.72914565758767369</v>
      </c>
      <c r="G83" s="15">
        <v>65.690379984612775</v>
      </c>
      <c r="H83" s="27" t="s">
        <v>222</v>
      </c>
      <c r="I83" s="22">
        <v>8226</v>
      </c>
      <c r="J83" s="22">
        <v>8600</v>
      </c>
      <c r="K83" s="22">
        <v>8700</v>
      </c>
      <c r="L83" s="35">
        <v>8800</v>
      </c>
      <c r="M83" s="18">
        <v>6.977875030391445E-2</v>
      </c>
      <c r="N83" s="25">
        <v>574</v>
      </c>
      <c r="O83" s="19">
        <v>39794123.117647059</v>
      </c>
      <c r="P83" s="19">
        <v>21792061.184873946</v>
      </c>
      <c r="Q83" s="26">
        <v>1.8260834888472366</v>
      </c>
      <c r="R83" s="64">
        <v>4113</v>
      </c>
      <c r="S83" s="97">
        <v>2</v>
      </c>
      <c r="T83" s="91">
        <v>0.81781571484908067</v>
      </c>
      <c r="U83" s="93">
        <v>2.1377338877338876</v>
      </c>
    </row>
    <row r="84" spans="2:21" x14ac:dyDescent="0.25">
      <c r="B84" s="5" t="s">
        <v>223</v>
      </c>
      <c r="C84" s="6" t="s">
        <v>308</v>
      </c>
      <c r="D84" s="12" t="s">
        <v>51</v>
      </c>
      <c r="E84" s="13">
        <v>2323.5</v>
      </c>
      <c r="F84" s="14">
        <v>0.82331346564241403</v>
      </c>
      <c r="G84" s="15">
        <v>64.541502398070932</v>
      </c>
      <c r="H84" s="5" t="s">
        <v>224</v>
      </c>
      <c r="I84" s="16">
        <v>2283</v>
      </c>
      <c r="J84" s="16">
        <v>2160</v>
      </c>
      <c r="K84" s="16">
        <v>2150</v>
      </c>
      <c r="L84" s="17">
        <v>2170</v>
      </c>
      <c r="M84" s="18">
        <v>-4.9496276828734143E-2</v>
      </c>
      <c r="N84" s="25">
        <v>-113</v>
      </c>
      <c r="O84" s="19">
        <v>9826782.3529411759</v>
      </c>
      <c r="P84" s="19">
        <v>5187594.1176470583</v>
      </c>
      <c r="Q84" s="26">
        <v>1.8942851214038925</v>
      </c>
      <c r="R84" s="64">
        <v>774.5</v>
      </c>
      <c r="S84" s="97">
        <v>3</v>
      </c>
      <c r="T84" s="91">
        <v>0.81416658780953344</v>
      </c>
      <c r="U84" s="93">
        <v>2.645422943221321</v>
      </c>
    </row>
    <row r="85" spans="2:21" x14ac:dyDescent="0.25">
      <c r="B85" s="5" t="s">
        <v>225</v>
      </c>
      <c r="C85" s="6" t="s">
        <v>309</v>
      </c>
      <c r="D85" s="12" t="s">
        <v>38</v>
      </c>
      <c r="E85" s="13">
        <v>5160.75</v>
      </c>
      <c r="F85" s="14">
        <v>0.85518798718803291</v>
      </c>
      <c r="G85" s="15">
        <v>75.534577046582498</v>
      </c>
      <c r="H85" s="5" t="s">
        <v>226</v>
      </c>
      <c r="I85" s="16">
        <v>7218</v>
      </c>
      <c r="J85" s="16">
        <v>8200</v>
      </c>
      <c r="K85" s="16">
        <v>10400</v>
      </c>
      <c r="L85" s="17">
        <v>12600</v>
      </c>
      <c r="M85" s="18">
        <v>0.74563591022443898</v>
      </c>
      <c r="N85" s="25">
        <v>5382</v>
      </c>
      <c r="O85" s="19">
        <v>28025000</v>
      </c>
      <c r="P85" s="19">
        <v>11032006.722689075</v>
      </c>
      <c r="Q85" s="26">
        <v>2.5403356528384027</v>
      </c>
      <c r="R85" s="64">
        <v>1720.25</v>
      </c>
      <c r="S85" s="97">
        <v>3</v>
      </c>
      <c r="T85" s="91">
        <v>0.70822168765485849</v>
      </c>
      <c r="U85" s="93">
        <v>2.8642857142857143</v>
      </c>
    </row>
    <row r="86" spans="2:21" x14ac:dyDescent="0.25">
      <c r="B86" s="5" t="s">
        <v>227</v>
      </c>
      <c r="C86" s="6" t="s">
        <v>310</v>
      </c>
      <c r="D86" s="12" t="s">
        <v>51</v>
      </c>
      <c r="E86" s="13">
        <v>47386.25</v>
      </c>
      <c r="F86" s="14">
        <v>0.63466417618219106</v>
      </c>
      <c r="G86" s="15">
        <v>60.499462122162051</v>
      </c>
      <c r="H86" s="31" t="s">
        <v>228</v>
      </c>
      <c r="I86" s="22">
        <v>45250</v>
      </c>
      <c r="J86" s="23">
        <v>48200</v>
      </c>
      <c r="K86" s="23">
        <v>49100</v>
      </c>
      <c r="L86" s="24">
        <v>51300</v>
      </c>
      <c r="M86" s="18">
        <v>0.13370165745856344</v>
      </c>
      <c r="N86" s="25">
        <v>6050</v>
      </c>
      <c r="O86" s="19">
        <v>255585588.2352941</v>
      </c>
      <c r="P86" s="19">
        <v>160220122.68907565</v>
      </c>
      <c r="Q86" s="26">
        <v>1.5952152822357113</v>
      </c>
      <c r="R86" s="64">
        <v>5265.1388888888887</v>
      </c>
      <c r="S86" s="97">
        <v>9</v>
      </c>
      <c r="T86" s="91">
        <v>0.85553041012478726</v>
      </c>
      <c r="U86" s="93">
        <v>2.081129558938509</v>
      </c>
    </row>
    <row r="87" spans="2:21" x14ac:dyDescent="0.25">
      <c r="B87" s="28" t="s">
        <v>229</v>
      </c>
      <c r="C87" s="29" t="s">
        <v>311</v>
      </c>
      <c r="D87" s="30" t="s">
        <v>41</v>
      </c>
      <c r="E87" s="13">
        <v>5338</v>
      </c>
      <c r="F87" s="14">
        <v>0.67993436500884885</v>
      </c>
      <c r="G87" s="15">
        <v>54.152830314570636</v>
      </c>
      <c r="H87" s="21" t="s">
        <v>230</v>
      </c>
      <c r="I87" s="22">
        <v>5273</v>
      </c>
      <c r="J87" s="23">
        <v>6000</v>
      </c>
      <c r="K87" s="23">
        <v>7000</v>
      </c>
      <c r="L87" s="24">
        <v>7900</v>
      </c>
      <c r="M87" s="18">
        <v>0.4981983690498768</v>
      </c>
      <c r="N87" s="25">
        <v>2627</v>
      </c>
      <c r="O87" s="19">
        <v>24381588.235294119</v>
      </c>
      <c r="P87" s="19">
        <v>13488512.605042016</v>
      </c>
      <c r="Q87" s="26">
        <v>1.8075816770323707</v>
      </c>
      <c r="R87" s="64">
        <v>1779.3333333333333</v>
      </c>
      <c r="S87" s="97">
        <v>3</v>
      </c>
      <c r="T87" s="91">
        <v>0.83168127018554416</v>
      </c>
      <c r="U87" s="93">
        <v>2.6807320793085916</v>
      </c>
    </row>
    <row r="88" spans="2:21" x14ac:dyDescent="0.25">
      <c r="B88" s="5" t="s">
        <v>231</v>
      </c>
      <c r="C88" s="6" t="s">
        <v>232</v>
      </c>
      <c r="D88" s="12" t="s">
        <v>168</v>
      </c>
      <c r="E88" s="13">
        <v>435000</v>
      </c>
      <c r="F88" s="14">
        <v>0.41933096439098766</v>
      </c>
      <c r="G88" s="15">
        <v>32.820680636120301</v>
      </c>
      <c r="H88" s="31" t="s">
        <v>233</v>
      </c>
      <c r="I88" s="22">
        <v>285068</v>
      </c>
      <c r="J88" s="23">
        <v>315000</v>
      </c>
      <c r="K88" s="23">
        <v>329200</v>
      </c>
      <c r="L88" s="24">
        <v>344100</v>
      </c>
      <c r="M88" s="18">
        <v>0.20708041590076753</v>
      </c>
      <c r="N88" s="25">
        <v>59032</v>
      </c>
      <c r="O88" s="19">
        <v>146320294.11764705</v>
      </c>
      <c r="P88" s="19">
        <v>96790249.579831943</v>
      </c>
      <c r="Q88" s="26">
        <v>1.5117255586469283</v>
      </c>
      <c r="R88" s="64">
        <v>42392.375</v>
      </c>
      <c r="S88" s="97">
        <v>10.261279298458744</v>
      </c>
      <c r="T88" s="91">
        <v>1.0352025132427811</v>
      </c>
      <c r="U88" s="93">
        <v>2.5681570436302374</v>
      </c>
    </row>
    <row r="89" spans="2:21" x14ac:dyDescent="0.25">
      <c r="B89" s="28" t="s">
        <v>234</v>
      </c>
      <c r="C89" s="71" t="s">
        <v>436</v>
      </c>
      <c r="D89" s="30" t="s">
        <v>41</v>
      </c>
      <c r="E89" s="13">
        <v>18663</v>
      </c>
      <c r="F89" s="14">
        <v>0.7472602548582058</v>
      </c>
      <c r="G89" s="15">
        <v>77.633864969072945</v>
      </c>
      <c r="H89" s="21" t="s">
        <v>235</v>
      </c>
      <c r="I89" s="22">
        <v>18227</v>
      </c>
      <c r="J89" s="23">
        <v>20600</v>
      </c>
      <c r="K89" s="23">
        <v>21800</v>
      </c>
      <c r="L89" s="24">
        <v>22800</v>
      </c>
      <c r="M89" s="18">
        <v>0.25089153453667645</v>
      </c>
      <c r="N89" s="25">
        <v>4573</v>
      </c>
      <c r="O89" s="19">
        <v>103278235.29411764</v>
      </c>
      <c r="P89" s="19">
        <v>46249747.899159662</v>
      </c>
      <c r="Q89" s="26">
        <v>2.2330550972796583</v>
      </c>
      <c r="R89" s="64">
        <v>2332.875</v>
      </c>
      <c r="S89" s="97">
        <v>8</v>
      </c>
      <c r="T89" s="91">
        <v>0.75047119041356103</v>
      </c>
      <c r="U89" s="93">
        <v>2.5758903335217638</v>
      </c>
    </row>
    <row r="90" spans="2:21" x14ac:dyDescent="0.25">
      <c r="B90" s="5" t="s">
        <v>93</v>
      </c>
      <c r="C90" s="6" t="s">
        <v>338</v>
      </c>
      <c r="D90" s="12" t="s">
        <v>51</v>
      </c>
      <c r="E90" s="13">
        <v>1475</v>
      </c>
      <c r="F90" s="14">
        <v>0.8613561785949041</v>
      </c>
      <c r="G90" s="15">
        <v>72.932435570002312</v>
      </c>
      <c r="H90" s="5" t="s">
        <v>94</v>
      </c>
      <c r="I90" s="16">
        <v>1475</v>
      </c>
      <c r="J90" s="16">
        <v>1520</v>
      </c>
      <c r="K90" s="16">
        <v>1550</v>
      </c>
      <c r="L90" s="17">
        <v>1560</v>
      </c>
      <c r="M90" s="18">
        <v>5.7627118644067776E-2</v>
      </c>
      <c r="N90" s="25">
        <v>85</v>
      </c>
      <c r="O90" s="19">
        <v>8874823.5294117648</v>
      </c>
      <c r="P90" s="19">
        <v>3902268.9075630247</v>
      </c>
      <c r="Q90" s="26">
        <v>2.2742726704998173</v>
      </c>
      <c r="R90" s="64">
        <v>737.5</v>
      </c>
      <c r="S90" s="97">
        <v>2</v>
      </c>
      <c r="T90" s="91">
        <v>0.74515184746828156</v>
      </c>
      <c r="U90" s="93">
        <v>2.5170648464163823</v>
      </c>
    </row>
    <row r="91" spans="2:21" x14ac:dyDescent="0.25">
      <c r="B91" s="5" t="s">
        <v>236</v>
      </c>
      <c r="C91" s="6" t="s">
        <v>312</v>
      </c>
      <c r="D91" s="12" t="s">
        <v>168</v>
      </c>
      <c r="E91" s="13">
        <v>12013</v>
      </c>
      <c r="F91" s="14">
        <v>0.93041075614630908</v>
      </c>
      <c r="G91" s="15">
        <v>90.333263393880387</v>
      </c>
      <c r="H91" s="5" t="s">
        <v>237</v>
      </c>
      <c r="I91" s="16">
        <v>12302</v>
      </c>
      <c r="J91" s="16">
        <v>13300</v>
      </c>
      <c r="K91" s="16">
        <v>13800</v>
      </c>
      <c r="L91" s="17">
        <v>14100</v>
      </c>
      <c r="M91" s="18">
        <v>0.1461550967322387</v>
      </c>
      <c r="N91" s="25">
        <v>1798</v>
      </c>
      <c r="O91" s="19">
        <v>72047023.529411763</v>
      </c>
      <c r="P91" s="19">
        <v>30746479.831932776</v>
      </c>
      <c r="Q91" s="26">
        <v>2.3432608846032821</v>
      </c>
      <c r="R91" s="64">
        <v>4004.3333333333335</v>
      </c>
      <c r="S91" s="97">
        <v>3</v>
      </c>
      <c r="T91" s="91">
        <v>0.72201834538470988</v>
      </c>
      <c r="U91" s="93">
        <v>2.4283458349782867</v>
      </c>
    </row>
    <row r="92" spans="2:21" x14ac:dyDescent="0.25">
      <c r="B92" s="5" t="s">
        <v>238</v>
      </c>
      <c r="C92" s="6" t="s">
        <v>313</v>
      </c>
      <c r="D92" s="12" t="s">
        <v>56</v>
      </c>
      <c r="E92" s="13">
        <v>922.5</v>
      </c>
      <c r="F92" s="14">
        <v>0.9186743884091424</v>
      </c>
      <c r="G92" s="15">
        <v>33.095741916323277</v>
      </c>
      <c r="H92" s="5" t="s">
        <v>239</v>
      </c>
      <c r="I92" s="16">
        <v>419</v>
      </c>
      <c r="J92" s="16">
        <v>410</v>
      </c>
      <c r="K92" s="16">
        <v>420</v>
      </c>
      <c r="L92" s="17">
        <v>420</v>
      </c>
      <c r="M92" s="18">
        <v>2.3866348448686736E-3</v>
      </c>
      <c r="N92" s="25">
        <v>1</v>
      </c>
      <c r="O92" s="19">
        <v>2611823.5294117648</v>
      </c>
      <c r="P92" s="19">
        <v>1262049.5798319329</v>
      </c>
      <c r="Q92" s="26">
        <v>2.0695094480833163</v>
      </c>
      <c r="R92" s="64">
        <v>922.5</v>
      </c>
      <c r="S92" s="97">
        <v>1</v>
      </c>
      <c r="T92" s="91">
        <v>0.77847854885442014</v>
      </c>
      <c r="U92" s="93">
        <v>2.6858974358974357</v>
      </c>
    </row>
    <row r="93" spans="2:21" x14ac:dyDescent="0.25">
      <c r="B93" s="5" t="s">
        <v>240</v>
      </c>
      <c r="C93" s="6" t="s">
        <v>314</v>
      </c>
      <c r="D93" s="12" t="s">
        <v>59</v>
      </c>
      <c r="E93" s="13">
        <v>8008.75</v>
      </c>
      <c r="F93" s="14">
        <v>0.89448095791042637</v>
      </c>
      <c r="G93" s="15">
        <v>77.297423665468628</v>
      </c>
      <c r="H93" s="5" t="s">
        <v>241</v>
      </c>
      <c r="I93" s="16">
        <v>7345</v>
      </c>
      <c r="J93" s="16">
        <v>10000</v>
      </c>
      <c r="K93" s="16">
        <v>12600</v>
      </c>
      <c r="L93" s="17">
        <v>15400</v>
      </c>
      <c r="M93" s="18">
        <v>1.0966643975493535</v>
      </c>
      <c r="N93" s="25">
        <v>8055</v>
      </c>
      <c r="O93" s="19">
        <v>33515882.352941178</v>
      </c>
      <c r="P93" s="19">
        <v>9923033.613445377</v>
      </c>
      <c r="Q93" s="26">
        <v>3.3775842810336028</v>
      </c>
      <c r="R93" s="64">
        <v>2669.5833333333335</v>
      </c>
      <c r="S93" s="97">
        <v>3</v>
      </c>
      <c r="T93" s="91">
        <v>0.61443454783894758</v>
      </c>
      <c r="U93" s="93">
        <v>3.0164271047227924</v>
      </c>
    </row>
    <row r="94" spans="2:21" x14ac:dyDescent="0.25">
      <c r="B94" s="28" t="s">
        <v>242</v>
      </c>
      <c r="C94" s="29" t="s">
        <v>243</v>
      </c>
      <c r="D94" s="30" t="s">
        <v>59</v>
      </c>
      <c r="E94" s="13">
        <v>11420.5</v>
      </c>
      <c r="F94" s="14">
        <v>0.74009719295134913</v>
      </c>
      <c r="G94" s="15">
        <v>61.903702366508675</v>
      </c>
      <c r="H94" s="32" t="s">
        <v>244</v>
      </c>
      <c r="I94" s="22">
        <v>10697</v>
      </c>
      <c r="J94" s="23">
        <v>14200</v>
      </c>
      <c r="K94" s="23">
        <v>20600</v>
      </c>
      <c r="L94" s="24">
        <v>24000</v>
      </c>
      <c r="M94" s="18">
        <v>1.2436197064597549</v>
      </c>
      <c r="N94" s="25">
        <v>13303</v>
      </c>
      <c r="O94" s="19">
        <v>45136352.941176474</v>
      </c>
      <c r="P94" s="19">
        <v>22818927.983193278</v>
      </c>
      <c r="Q94" s="26">
        <v>1.9780224984460508</v>
      </c>
      <c r="R94" s="64">
        <v>2855.125</v>
      </c>
      <c r="S94" s="97">
        <v>4</v>
      </c>
      <c r="T94" s="91">
        <v>0.78631259197786096</v>
      </c>
      <c r="U94" s="93">
        <v>2.7365055001279099</v>
      </c>
    </row>
    <row r="95" spans="2:21" x14ac:dyDescent="0.25">
      <c r="B95" s="5" t="s">
        <v>245</v>
      </c>
      <c r="C95" s="6" t="s">
        <v>315</v>
      </c>
      <c r="D95" s="12" t="s">
        <v>59</v>
      </c>
      <c r="E95" s="13">
        <v>4238.75</v>
      </c>
      <c r="F95" s="14">
        <v>0.81409719439507389</v>
      </c>
      <c r="G95" s="15">
        <v>54.430074774887601</v>
      </c>
      <c r="H95" s="5" t="s">
        <v>246</v>
      </c>
      <c r="I95" s="16">
        <v>4205</v>
      </c>
      <c r="J95" s="16">
        <v>4900</v>
      </c>
      <c r="K95" s="16">
        <v>6200</v>
      </c>
      <c r="L95" s="17">
        <v>7200</v>
      </c>
      <c r="M95" s="18">
        <v>0.71224732461355522</v>
      </c>
      <c r="N95" s="25">
        <v>2995</v>
      </c>
      <c r="O95" s="19">
        <v>12975294.117647059</v>
      </c>
      <c r="P95" s="19">
        <v>8137537.8151260493</v>
      </c>
      <c r="Q95" s="26">
        <v>1.5944987799047265</v>
      </c>
      <c r="R95" s="64">
        <v>2119.375</v>
      </c>
      <c r="S95" s="97">
        <v>2</v>
      </c>
      <c r="T95" s="91">
        <v>0.8592466812935633</v>
      </c>
      <c r="U95" s="93">
        <v>2.6886189258312019</v>
      </c>
    </row>
    <row r="96" spans="2:21" x14ac:dyDescent="0.25">
      <c r="B96" s="5" t="s">
        <v>247</v>
      </c>
      <c r="C96" s="6" t="s">
        <v>316</v>
      </c>
      <c r="D96" s="12" t="s">
        <v>51</v>
      </c>
      <c r="E96" s="13">
        <v>3907</v>
      </c>
      <c r="F96" s="14">
        <v>0.6391738667076533</v>
      </c>
      <c r="G96" s="15">
        <v>107.14202818264373</v>
      </c>
      <c r="H96" s="31" t="s">
        <v>248</v>
      </c>
      <c r="I96" s="22">
        <v>3688</v>
      </c>
      <c r="J96" s="23">
        <v>4140</v>
      </c>
      <c r="K96" s="23">
        <v>4520</v>
      </c>
      <c r="L96" s="24">
        <v>4650</v>
      </c>
      <c r="M96" s="18">
        <v>0.26084598698481565</v>
      </c>
      <c r="N96" s="25">
        <v>962</v>
      </c>
      <c r="O96" s="19">
        <v>41074705.882352941</v>
      </c>
      <c r="P96" s="19">
        <v>17810151.260504201</v>
      </c>
      <c r="Q96" s="26">
        <v>2.3062525006983083</v>
      </c>
      <c r="R96" s="64">
        <v>1302.3333333333333</v>
      </c>
      <c r="S96" s="97">
        <v>3</v>
      </c>
      <c r="T96" s="91">
        <v>0.71890480893117881</v>
      </c>
      <c r="U96" s="93">
        <v>2.0545961002785513</v>
      </c>
    </row>
    <row r="97" spans="2:21" x14ac:dyDescent="0.25">
      <c r="B97" s="5" t="s">
        <v>95</v>
      </c>
      <c r="C97" s="6" t="s">
        <v>339</v>
      </c>
      <c r="D97" s="12" t="s">
        <v>96</v>
      </c>
      <c r="E97" s="13">
        <v>24163</v>
      </c>
      <c r="F97" s="14">
        <v>0.75152220790949209</v>
      </c>
      <c r="G97" s="15">
        <v>62.958735165675591</v>
      </c>
      <c r="H97" s="5" t="s">
        <v>97</v>
      </c>
      <c r="I97" s="16">
        <v>23797</v>
      </c>
      <c r="J97" s="16">
        <v>24300</v>
      </c>
      <c r="K97" s="16">
        <v>25000</v>
      </c>
      <c r="L97" s="17">
        <v>25800</v>
      </c>
      <c r="M97" s="18">
        <v>8.4170273563894504E-2</v>
      </c>
      <c r="N97" s="25">
        <v>2003</v>
      </c>
      <c r="O97" s="19">
        <v>127420252.94117647</v>
      </c>
      <c r="P97" s="19">
        <v>65189053.781512611</v>
      </c>
      <c r="Q97" s="26">
        <v>1.9546265139579679</v>
      </c>
      <c r="R97" s="64">
        <v>6040.75</v>
      </c>
      <c r="S97" s="97">
        <v>4</v>
      </c>
      <c r="T97" s="91">
        <v>0.79267899405495157</v>
      </c>
      <c r="U97" s="93">
        <v>2.3928607340372046</v>
      </c>
    </row>
    <row r="98" spans="2:21" x14ac:dyDescent="0.25">
      <c r="B98" s="28" t="s">
        <v>249</v>
      </c>
      <c r="C98" s="29" t="s">
        <v>250</v>
      </c>
      <c r="D98" s="30" t="s">
        <v>168</v>
      </c>
      <c r="E98" s="13">
        <v>13685</v>
      </c>
      <c r="F98" s="14">
        <v>0.70447652502461322</v>
      </c>
      <c r="G98" s="15">
        <v>58.774409737689005</v>
      </c>
      <c r="H98" s="36" t="s">
        <v>250</v>
      </c>
      <c r="I98" s="22">
        <v>10949</v>
      </c>
      <c r="J98" s="23">
        <v>11300</v>
      </c>
      <c r="K98" s="23">
        <v>11400</v>
      </c>
      <c r="L98" s="24">
        <v>11500</v>
      </c>
      <c r="M98" s="18">
        <v>5.0324230523335567E-2</v>
      </c>
      <c r="N98" s="25">
        <v>551</v>
      </c>
      <c r="O98" s="19">
        <v>6807511.7647058824</v>
      </c>
      <c r="P98" s="19">
        <v>2820340.3865546216</v>
      </c>
      <c r="Q98" s="26">
        <v>2.4137199173402117</v>
      </c>
      <c r="R98" s="64">
        <v>2280.8333333333335</v>
      </c>
      <c r="S98" s="97">
        <v>6</v>
      </c>
      <c r="T98" s="91">
        <v>0.73698658517243709</v>
      </c>
      <c r="U98" s="93">
        <v>2.5695846045529218</v>
      </c>
    </row>
    <row r="99" spans="2:21" ht="15.75" thickBot="1" x14ac:dyDescent="0.3">
      <c r="B99" s="37" t="s">
        <v>251</v>
      </c>
      <c r="C99" s="38" t="s">
        <v>317</v>
      </c>
      <c r="D99" s="39" t="s">
        <v>41</v>
      </c>
      <c r="E99" s="40">
        <v>66450.75</v>
      </c>
      <c r="F99" s="41">
        <v>0.81805468620234878</v>
      </c>
      <c r="G99" s="42">
        <v>83.61039247369267</v>
      </c>
      <c r="H99" s="37" t="s">
        <v>252</v>
      </c>
      <c r="I99" s="43">
        <v>61961</v>
      </c>
      <c r="J99" s="43">
        <v>72500</v>
      </c>
      <c r="K99" s="43">
        <v>80500</v>
      </c>
      <c r="L99" s="44">
        <v>87800</v>
      </c>
      <c r="M99" s="45">
        <v>0.41702038378980322</v>
      </c>
      <c r="N99" s="46">
        <v>25839</v>
      </c>
      <c r="O99" s="47">
        <v>411827647.05882353</v>
      </c>
      <c r="P99" s="48">
        <v>134259151.32773107</v>
      </c>
      <c r="Q99" s="49">
        <v>3.0674083888221406</v>
      </c>
      <c r="R99" s="65">
        <v>6040.977272727273</v>
      </c>
      <c r="S99" s="388">
        <v>19</v>
      </c>
      <c r="T99" s="95">
        <v>0.63041498272798224</v>
      </c>
      <c r="U99" s="94">
        <v>2.7423652297070018</v>
      </c>
    </row>
    <row r="100" spans="2:21" x14ac:dyDescent="0.25">
      <c r="B100" s="6"/>
      <c r="C100" s="6"/>
      <c r="D100" s="6"/>
      <c r="E100" s="50"/>
      <c r="F100" s="50"/>
      <c r="G100" s="50"/>
      <c r="H100" s="6"/>
      <c r="I100" s="6"/>
      <c r="J100" s="6"/>
      <c r="K100" s="6"/>
      <c r="L100" s="6"/>
      <c r="M100" s="6"/>
      <c r="N100" s="6"/>
    </row>
    <row r="101" spans="2:21" x14ac:dyDescent="0.25">
      <c r="B101" s="50"/>
      <c r="C101" s="50"/>
      <c r="D101" s="50"/>
      <c r="E101" s="50"/>
      <c r="F101" s="50"/>
      <c r="G101" s="50"/>
      <c r="H101" s="51" t="s">
        <v>253</v>
      </c>
      <c r="I101" s="50"/>
      <c r="J101" s="50"/>
      <c r="K101" s="50"/>
      <c r="L101" s="50"/>
      <c r="M101" s="50"/>
      <c r="N101" s="50"/>
    </row>
    <row r="102" spans="2:21" x14ac:dyDescent="0.25">
      <c r="B102" s="50"/>
      <c r="C102" s="50"/>
      <c r="D102" s="50"/>
      <c r="E102" s="50"/>
      <c r="F102" s="50"/>
      <c r="G102" s="50"/>
      <c r="H102" s="51" t="s">
        <v>254</v>
      </c>
      <c r="I102" s="50"/>
      <c r="J102" s="50"/>
      <c r="K102" s="50"/>
      <c r="L102" s="50"/>
      <c r="M102" s="50"/>
      <c r="N102" s="50"/>
    </row>
    <row r="103" spans="2:21" x14ac:dyDescent="0.25">
      <c r="B103" s="50"/>
      <c r="C103" s="50"/>
      <c r="D103" s="50"/>
      <c r="E103" s="50"/>
      <c r="F103" s="50"/>
      <c r="G103" s="50"/>
      <c r="H103" s="52" t="s">
        <v>255</v>
      </c>
      <c r="I103" s="50"/>
      <c r="J103" s="50"/>
      <c r="K103" s="50"/>
      <c r="L103" s="50"/>
      <c r="M103" s="50"/>
      <c r="N103" s="50"/>
    </row>
    <row r="104" spans="2:21" x14ac:dyDescent="0.25">
      <c r="B104" s="50"/>
      <c r="C104" s="50"/>
      <c r="D104" s="50"/>
      <c r="E104" s="50"/>
      <c r="F104" s="50"/>
      <c r="G104" s="50"/>
      <c r="H104" s="53" t="s">
        <v>256</v>
      </c>
      <c r="I104" s="50"/>
      <c r="J104" s="50"/>
      <c r="K104" s="50"/>
      <c r="L104" s="50"/>
      <c r="M104" s="50"/>
      <c r="N104" s="50"/>
    </row>
  </sheetData>
  <sheetProtection algorithmName="SHA-512" hashValue="duPdxrLwQAKP9vyq/o4Ru7isL/LYBJlvIbUBQjzK0QwNPDgLrIe/YPbkAp3FIXx+C25Ywd3zSZDMKp7JfVWheQ==" saltValue="T39r1LaBzXdPRvPX5XdSrQ==" spinCount="100000" sheet="1" objects="1" scenarios="1"/>
  <sortState xmlns:xlrd2="http://schemas.microsoft.com/office/spreadsheetml/2017/richdata2" ref="B6:S99">
    <sortCondition ref="C6:C99"/>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I20"/>
  <sheetViews>
    <sheetView workbookViewId="0">
      <selection activeCell="C26" sqref="C26"/>
    </sheetView>
  </sheetViews>
  <sheetFormatPr defaultColWidth="8.85546875" defaultRowHeight="15" x14ac:dyDescent="0.25"/>
  <cols>
    <col min="1" max="1" width="2.85546875" style="60" customWidth="1"/>
    <col min="2" max="2" width="3.42578125" style="60" customWidth="1"/>
    <col min="3" max="3" width="25.42578125" style="60" customWidth="1"/>
    <col min="4" max="4" width="17.7109375" style="60" customWidth="1"/>
    <col min="5" max="5" width="11.5703125" style="60" customWidth="1"/>
    <col min="6" max="7" width="14.42578125" style="60" customWidth="1"/>
    <col min="8" max="8" width="13.140625" style="60" customWidth="1"/>
    <col min="9" max="9" width="14.42578125" style="60" customWidth="1"/>
    <col min="10" max="16384" width="8.85546875" style="60"/>
  </cols>
  <sheetData>
    <row r="1" spans="2:9" x14ac:dyDescent="0.25">
      <c r="C1" s="67"/>
      <c r="D1" s="67"/>
      <c r="E1" s="68"/>
      <c r="F1" s="68"/>
      <c r="G1" s="68"/>
    </row>
    <row r="2" spans="2:9" x14ac:dyDescent="0.25">
      <c r="C2" s="501" t="s">
        <v>468</v>
      </c>
      <c r="D2" s="192"/>
      <c r="E2" s="193"/>
      <c r="F2" s="193"/>
      <c r="G2" s="193"/>
      <c r="H2" s="192"/>
      <c r="I2" s="194"/>
    </row>
    <row r="3" spans="2:9" x14ac:dyDescent="0.25">
      <c r="C3" s="188" t="s">
        <v>470</v>
      </c>
      <c r="D3" s="190"/>
      <c r="E3" s="191"/>
      <c r="F3" s="191"/>
      <c r="G3" s="191"/>
      <c r="H3" s="190"/>
      <c r="I3" s="195"/>
    </row>
    <row r="4" spans="2:9" x14ac:dyDescent="0.25">
      <c r="C4" s="188" t="s">
        <v>398</v>
      </c>
      <c r="D4" s="190"/>
      <c r="E4" s="191"/>
      <c r="F4" s="191"/>
      <c r="G4" s="191"/>
      <c r="H4" s="190"/>
      <c r="I4" s="195"/>
    </row>
    <row r="5" spans="2:9" x14ac:dyDescent="0.25">
      <c r="C5" s="188" t="s">
        <v>489</v>
      </c>
      <c r="D5" s="190"/>
      <c r="E5" s="191"/>
      <c r="F5" s="191"/>
      <c r="G5" s="191"/>
      <c r="H5" s="190"/>
      <c r="I5" s="195"/>
    </row>
    <row r="6" spans="2:9" x14ac:dyDescent="0.25">
      <c r="C6" s="188" t="s">
        <v>399</v>
      </c>
      <c r="D6" s="190"/>
      <c r="E6" s="191"/>
      <c r="F6" s="191"/>
      <c r="G6" s="191"/>
      <c r="H6" s="190"/>
      <c r="I6" s="195"/>
    </row>
    <row r="7" spans="2:9" x14ac:dyDescent="0.25">
      <c r="C7" s="189" t="s">
        <v>400</v>
      </c>
      <c r="D7" s="196"/>
      <c r="E7" s="197"/>
      <c r="F7" s="197"/>
      <c r="G7" s="197"/>
      <c r="H7" s="196"/>
      <c r="I7" s="198"/>
    </row>
    <row r="8" spans="2:9" s="225" customFormat="1" x14ac:dyDescent="0.25">
      <c r="C8" s="71"/>
      <c r="D8" s="67"/>
      <c r="E8" s="68"/>
      <c r="F8" s="68"/>
      <c r="G8" s="68"/>
      <c r="H8" s="67"/>
      <c r="I8" s="67"/>
    </row>
    <row r="9" spans="2:9" s="118" customFormat="1" ht="15.6" customHeight="1" x14ac:dyDescent="0.25">
      <c r="C9" s="223" t="s">
        <v>421</v>
      </c>
      <c r="D9" s="119"/>
      <c r="F9" s="223" t="s">
        <v>423</v>
      </c>
      <c r="G9" s="223" t="s">
        <v>423</v>
      </c>
      <c r="I9" s="223" t="s">
        <v>423</v>
      </c>
    </row>
    <row r="10" spans="2:9" ht="43.15" customHeight="1" x14ac:dyDescent="0.25">
      <c r="B10" s="540" t="s">
        <v>0</v>
      </c>
      <c r="C10" s="539"/>
      <c r="D10" s="354" t="s">
        <v>324</v>
      </c>
      <c r="E10" s="355" t="s">
        <v>424</v>
      </c>
      <c r="F10" s="356" t="s">
        <v>262</v>
      </c>
      <c r="G10" s="357" t="s">
        <v>263</v>
      </c>
      <c r="H10" s="358" t="s">
        <v>375</v>
      </c>
      <c r="I10" s="359" t="s">
        <v>420</v>
      </c>
    </row>
    <row r="11" spans="2:9" x14ac:dyDescent="0.25">
      <c r="B11" s="392"/>
      <c r="C11" s="393" t="s">
        <v>2</v>
      </c>
      <c r="D11" s="394">
        <f>IFERROR(VLOOKUP(C11, 'MPARS INV &amp; Thrive Forecast'!$C$6:$R$99, 3, FALSE),"")</f>
        <v>19572</v>
      </c>
      <c r="E11" s="395">
        <f>IFERROR(VLOOKUP(C11, 'MPARS INV &amp; Thrive Forecast'!$C$6:$S$99, 17, FALSE),"")</f>
        <v>6</v>
      </c>
      <c r="F11" s="396">
        <v>500000</v>
      </c>
      <c r="G11" s="397">
        <v>50000</v>
      </c>
      <c r="H11" s="398">
        <f>IFERROR(VLOOKUP(C11,'MPARS INV &amp; Thrive Forecast'!C6:U99,19,FALSE),"")</f>
        <v>3.1187442666394865</v>
      </c>
      <c r="I11" s="399">
        <v>0.9</v>
      </c>
    </row>
    <row r="12" spans="2:9" x14ac:dyDescent="0.25">
      <c r="F12" s="389"/>
      <c r="G12" s="225"/>
      <c r="H12" s="225"/>
      <c r="I12" s="225"/>
    </row>
    <row r="13" spans="2:9" x14ac:dyDescent="0.25">
      <c r="C13" s="1" t="s">
        <v>425</v>
      </c>
    </row>
    <row r="14" spans="2:9" x14ac:dyDescent="0.25">
      <c r="C14" s="223" t="s">
        <v>423</v>
      </c>
    </row>
    <row r="15" spans="2:9" x14ac:dyDescent="0.25">
      <c r="C15" s="61" t="s">
        <v>18</v>
      </c>
      <c r="D15" s="62">
        <v>0.03</v>
      </c>
    </row>
    <row r="17" spans="3:6" x14ac:dyDescent="0.25">
      <c r="C17" s="1" t="s">
        <v>426</v>
      </c>
    </row>
    <row r="18" spans="3:6" x14ac:dyDescent="0.25">
      <c r="C18" s="223" t="s">
        <v>423</v>
      </c>
    </row>
    <row r="19" spans="3:6" x14ac:dyDescent="0.25">
      <c r="C19" s="83">
        <v>0.01</v>
      </c>
      <c r="D19" s="77" t="s">
        <v>397</v>
      </c>
      <c r="E19" s="78"/>
      <c r="F19" s="78"/>
    </row>
    <row r="20" spans="3:6" x14ac:dyDescent="0.25">
      <c r="C20" s="82">
        <v>40</v>
      </c>
      <c r="D20" s="116" t="s">
        <v>396</v>
      </c>
    </row>
  </sheetData>
  <dataValidations count="1">
    <dataValidation type="list" allowBlank="1" showInputMessage="1" showErrorMessage="1" sqref="C11" xr:uid="{00000000-0002-0000-0100-000000000000}">
      <formula1>Communities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F373"/>
  <sheetViews>
    <sheetView topLeftCell="A25" workbookViewId="0">
      <selection activeCell="L57" sqref="L57"/>
    </sheetView>
  </sheetViews>
  <sheetFormatPr defaultColWidth="8.85546875" defaultRowHeight="15" x14ac:dyDescent="0.25"/>
  <cols>
    <col min="1" max="1" width="2.140625" style="240" customWidth="1"/>
    <col min="2" max="2" width="5.28515625" style="240" customWidth="1"/>
    <col min="3" max="3" width="26.85546875" style="240" customWidth="1"/>
    <col min="4" max="4" width="5.42578125" style="240" customWidth="1"/>
    <col min="5" max="5" width="34.28515625" style="240" customWidth="1"/>
    <col min="6" max="6" width="31.5703125" style="240" customWidth="1"/>
    <col min="7" max="7" width="14.85546875" style="240" customWidth="1"/>
    <col min="8" max="8" width="16.140625" style="240" customWidth="1"/>
    <col min="9" max="9" width="4.7109375" style="240" customWidth="1"/>
    <col min="10" max="10" width="5.140625" style="240" hidden="1" customWidth="1"/>
    <col min="11" max="11" width="15" style="240" customWidth="1"/>
    <col min="12" max="12" width="10.28515625" style="240" customWidth="1"/>
    <col min="13" max="26" width="8.85546875" style="240" customWidth="1"/>
    <col min="27" max="29" width="8.85546875" style="240"/>
    <col min="30" max="30" width="16.42578125" style="240" customWidth="1"/>
    <col min="31" max="31" width="12" style="240" bestFit="1" customWidth="1"/>
    <col min="32" max="16384" width="8.85546875" style="240"/>
  </cols>
  <sheetData>
    <row r="1" spans="3:12" ht="17.45" customHeight="1" x14ac:dyDescent="0.25"/>
    <row r="2" spans="3:12" ht="17.45" customHeight="1" x14ac:dyDescent="0.25">
      <c r="C2" s="241" t="s">
        <v>401</v>
      </c>
      <c r="D2" s="242"/>
      <c r="E2" s="242"/>
      <c r="F2" s="242"/>
      <c r="G2" s="242"/>
      <c r="H2" s="242"/>
      <c r="I2" s="242"/>
      <c r="J2" s="242"/>
      <c r="K2" s="242"/>
      <c r="L2" s="243"/>
    </row>
    <row r="3" spans="3:12" ht="17.45" customHeight="1" x14ac:dyDescent="0.25">
      <c r="C3" s="244"/>
      <c r="D3" s="245"/>
      <c r="E3" s="245"/>
      <c r="F3" s="245"/>
      <c r="G3" s="245"/>
      <c r="H3" s="245"/>
      <c r="I3" s="245"/>
      <c r="J3" s="245"/>
      <c r="K3" s="245"/>
      <c r="L3" s="246"/>
    </row>
    <row r="4" spans="3:12" ht="17.45" customHeight="1" x14ac:dyDescent="0.25">
      <c r="C4" s="188" t="s">
        <v>472</v>
      </c>
      <c r="D4" s="245"/>
      <c r="E4" s="245"/>
      <c r="F4" s="245"/>
      <c r="G4" s="245"/>
      <c r="H4" s="245"/>
      <c r="I4" s="245"/>
      <c r="J4" s="245"/>
      <c r="K4" s="245"/>
      <c r="L4" s="246"/>
    </row>
    <row r="5" spans="3:12" ht="17.45" customHeight="1" x14ac:dyDescent="0.25">
      <c r="C5" s="244" t="s">
        <v>402</v>
      </c>
      <c r="D5" s="245"/>
      <c r="E5" s="245"/>
      <c r="F5" s="245"/>
      <c r="G5" s="245"/>
      <c r="H5" s="245"/>
      <c r="I5" s="245"/>
      <c r="J5" s="245"/>
      <c r="K5" s="245"/>
      <c r="L5" s="246"/>
    </row>
    <row r="6" spans="3:12" ht="17.45" customHeight="1" x14ac:dyDescent="0.25">
      <c r="C6" s="188" t="s">
        <v>490</v>
      </c>
      <c r="D6" s="245"/>
      <c r="E6" s="245"/>
      <c r="F6" s="245"/>
      <c r="G6" s="245"/>
      <c r="H6" s="245"/>
      <c r="I6" s="245"/>
      <c r="J6" s="245"/>
      <c r="K6" s="245"/>
      <c r="L6" s="246"/>
    </row>
    <row r="7" spans="3:12" ht="17.45" customHeight="1" x14ac:dyDescent="0.25">
      <c r="C7" s="244" t="s">
        <v>403</v>
      </c>
      <c r="D7" s="245"/>
      <c r="E7" s="245"/>
      <c r="F7" s="245"/>
      <c r="G7" s="245"/>
      <c r="H7" s="245"/>
      <c r="I7" s="245"/>
      <c r="J7" s="245"/>
      <c r="K7" s="245"/>
      <c r="L7" s="246"/>
    </row>
    <row r="8" spans="3:12" ht="17.45" customHeight="1" x14ac:dyDescent="0.25">
      <c r="C8" s="188" t="s">
        <v>491</v>
      </c>
      <c r="D8" s="245"/>
      <c r="E8" s="245"/>
      <c r="F8" s="245"/>
      <c r="G8" s="245"/>
      <c r="H8" s="245"/>
      <c r="I8" s="245"/>
      <c r="J8" s="245"/>
      <c r="K8" s="245"/>
      <c r="L8" s="246"/>
    </row>
    <row r="9" spans="3:12" ht="17.45" customHeight="1" x14ac:dyDescent="0.25">
      <c r="C9" s="244" t="s">
        <v>404</v>
      </c>
      <c r="D9" s="245"/>
      <c r="E9" s="245"/>
      <c r="F9" s="245"/>
      <c r="G9" s="245"/>
      <c r="H9" s="245"/>
      <c r="I9" s="245"/>
      <c r="J9" s="245"/>
      <c r="K9" s="245"/>
      <c r="L9" s="246"/>
    </row>
    <row r="10" spans="3:12" ht="17.45" customHeight="1" x14ac:dyDescent="0.25">
      <c r="C10" s="244"/>
      <c r="D10" s="245"/>
      <c r="E10" s="245"/>
      <c r="F10" s="245"/>
      <c r="G10" s="245"/>
      <c r="H10" s="245"/>
      <c r="I10" s="245"/>
      <c r="J10" s="245"/>
      <c r="K10" s="245"/>
      <c r="L10" s="246"/>
    </row>
    <row r="11" spans="3:12" ht="17.45" customHeight="1" x14ac:dyDescent="0.25">
      <c r="C11" s="188" t="s">
        <v>473</v>
      </c>
      <c r="D11" s="245"/>
      <c r="E11" s="245"/>
      <c r="F11" s="245"/>
      <c r="G11" s="245"/>
      <c r="H11" s="245"/>
      <c r="I11" s="245"/>
      <c r="J11" s="245"/>
      <c r="K11" s="245"/>
      <c r="L11" s="246"/>
    </row>
    <row r="12" spans="3:12" ht="17.45" customHeight="1" x14ac:dyDescent="0.25">
      <c r="C12" s="189" t="s">
        <v>405</v>
      </c>
      <c r="D12" s="247"/>
      <c r="E12" s="247"/>
      <c r="F12" s="247"/>
      <c r="G12" s="247"/>
      <c r="H12" s="247"/>
      <c r="I12" s="247"/>
      <c r="J12" s="247"/>
      <c r="K12" s="247"/>
      <c r="L12" s="248"/>
    </row>
    <row r="13" spans="3:12" ht="17.45" customHeight="1" x14ac:dyDescent="0.25"/>
    <row r="14" spans="3:12" x14ac:dyDescent="0.25">
      <c r="C14" s="249" t="s">
        <v>360</v>
      </c>
    </row>
    <row r="15" spans="3:12" x14ac:dyDescent="0.25">
      <c r="C15" s="250"/>
      <c r="D15" s="251"/>
      <c r="E15" s="541"/>
      <c r="F15" s="542" t="s">
        <v>358</v>
      </c>
      <c r="G15" s="252">
        <v>2</v>
      </c>
      <c r="H15" s="253"/>
      <c r="J15" s="254"/>
    </row>
    <row r="16" spans="3:12" ht="30" x14ac:dyDescent="0.25">
      <c r="C16" s="547"/>
      <c r="D16" s="548"/>
      <c r="E16" s="502" t="s">
        <v>341</v>
      </c>
      <c r="F16" s="549"/>
      <c r="G16" s="255" t="s">
        <v>325</v>
      </c>
      <c r="H16" s="256" t="s">
        <v>326</v>
      </c>
      <c r="I16" s="257"/>
      <c r="J16" s="258"/>
    </row>
    <row r="17" spans="2:23" x14ac:dyDescent="0.25">
      <c r="C17" s="259"/>
      <c r="D17" s="260"/>
      <c r="E17" s="260"/>
      <c r="F17" s="260"/>
      <c r="G17" s="261"/>
      <c r="H17" s="262"/>
      <c r="I17" s="257"/>
      <c r="J17" s="258"/>
    </row>
    <row r="18" spans="2:23" x14ac:dyDescent="0.25">
      <c r="C18" s="259"/>
      <c r="D18" s="260"/>
      <c r="E18" s="260"/>
      <c r="F18" s="260"/>
      <c r="G18" s="261"/>
      <c r="H18" s="262"/>
      <c r="I18" s="257"/>
      <c r="J18" s="258"/>
    </row>
    <row r="19" spans="2:23" x14ac:dyDescent="0.25">
      <c r="C19" s="376" t="s">
        <v>346</v>
      </c>
      <c r="D19" s="263"/>
      <c r="E19" s="263"/>
      <c r="F19" s="263"/>
      <c r="G19" s="264">
        <v>70</v>
      </c>
      <c r="H19" s="265">
        <v>0.05</v>
      </c>
      <c r="I19" s="258"/>
      <c r="J19" s="258"/>
    </row>
    <row r="20" spans="2:23" x14ac:dyDescent="0.25">
      <c r="C20" s="266"/>
      <c r="D20" s="258"/>
      <c r="E20" s="258"/>
      <c r="F20" s="258"/>
      <c r="G20" s="258"/>
      <c r="H20" s="267"/>
      <c r="I20" s="258"/>
      <c r="J20" s="258"/>
    </row>
    <row r="21" spans="2:23" x14ac:dyDescent="0.25">
      <c r="C21" s="361" t="s">
        <v>347</v>
      </c>
      <c r="D21" s="258"/>
      <c r="E21" s="258"/>
      <c r="F21" s="258"/>
      <c r="G21" s="268">
        <v>200</v>
      </c>
      <c r="H21" s="269">
        <v>0.2</v>
      </c>
      <c r="I21" s="258"/>
      <c r="J21" s="258"/>
    </row>
    <row r="22" spans="2:23" x14ac:dyDescent="0.25">
      <c r="C22" s="270"/>
      <c r="D22" s="258"/>
      <c r="E22" s="258"/>
      <c r="F22" s="258"/>
      <c r="G22" s="268"/>
      <c r="H22" s="269"/>
      <c r="I22" s="258"/>
      <c r="J22" s="258"/>
    </row>
    <row r="23" spans="2:23" x14ac:dyDescent="0.25">
      <c r="C23" s="361" t="s">
        <v>348</v>
      </c>
      <c r="D23" s="258"/>
      <c r="E23" s="258"/>
      <c r="F23" s="258"/>
      <c r="G23" s="268">
        <v>100</v>
      </c>
      <c r="H23" s="269">
        <v>0.03</v>
      </c>
      <c r="I23" s="258"/>
      <c r="J23" s="258"/>
    </row>
    <row r="24" spans="2:23" x14ac:dyDescent="0.25">
      <c r="C24" s="270"/>
      <c r="D24" s="258"/>
      <c r="E24" s="258"/>
      <c r="F24" s="258"/>
      <c r="G24" s="268"/>
      <c r="H24" s="269"/>
      <c r="I24" s="258"/>
      <c r="J24" s="258"/>
    </row>
    <row r="25" spans="2:23" ht="16.5" x14ac:dyDescent="0.3">
      <c r="C25" s="361" t="s">
        <v>437</v>
      </c>
      <c r="D25" s="258"/>
      <c r="E25" s="258"/>
      <c r="F25" s="258"/>
      <c r="G25" s="268">
        <v>1500</v>
      </c>
      <c r="H25" s="269">
        <v>0.13</v>
      </c>
      <c r="I25" s="258"/>
      <c r="J25" s="258"/>
      <c r="W25" s="377"/>
    </row>
    <row r="26" spans="2:23" x14ac:dyDescent="0.25">
      <c r="C26" s="266"/>
      <c r="D26" s="258"/>
      <c r="E26" s="258"/>
      <c r="F26" s="258"/>
      <c r="G26" s="268"/>
      <c r="H26" s="269"/>
      <c r="I26" s="258"/>
      <c r="J26" s="258"/>
    </row>
    <row r="27" spans="2:23" x14ac:dyDescent="0.25">
      <c r="C27" s="271"/>
      <c r="D27" s="272"/>
      <c r="E27" s="272"/>
      <c r="F27" s="273" t="s">
        <v>359</v>
      </c>
      <c r="G27" s="252">
        <v>2</v>
      </c>
      <c r="H27" s="274"/>
      <c r="I27" s="258"/>
      <c r="J27" s="258"/>
    </row>
    <row r="28" spans="2:23" x14ac:dyDescent="0.25">
      <c r="C28" s="249"/>
    </row>
    <row r="29" spans="2:23" s="272" customFormat="1" x14ac:dyDescent="0.25">
      <c r="K29" s="272" t="s">
        <v>351</v>
      </c>
    </row>
    <row r="30" spans="2:23" x14ac:dyDescent="0.25">
      <c r="C30" s="364" t="s">
        <v>0</v>
      </c>
      <c r="D30" s="543"/>
      <c r="E30" s="544"/>
      <c r="F30" s="544"/>
      <c r="G30" s="365"/>
      <c r="H30" s="366"/>
    </row>
    <row r="31" spans="2:23" ht="37.9" customHeight="1" x14ac:dyDescent="0.35">
      <c r="B31" s="275"/>
      <c r="C31" s="276" t="str">
        <f>'Community Inputs'!C11</f>
        <v>Andover, City of</v>
      </c>
      <c r="D31" s="546" t="s">
        <v>342</v>
      </c>
      <c r="E31" s="545"/>
      <c r="F31" s="545"/>
      <c r="G31" s="277" t="s">
        <v>13</v>
      </c>
      <c r="H31" s="278" t="s">
        <v>383</v>
      </c>
    </row>
    <row r="32" spans="2:23" ht="18" customHeight="1" x14ac:dyDescent="0.35">
      <c r="B32" s="275"/>
      <c r="C32" s="279"/>
      <c r="D32" s="280"/>
      <c r="E32" s="281"/>
      <c r="F32" s="281"/>
      <c r="G32" s="282"/>
      <c r="H32" s="283"/>
    </row>
    <row r="33" spans="2:31" ht="18" customHeight="1" x14ac:dyDescent="0.35">
      <c r="B33" s="275"/>
      <c r="C33" s="279"/>
      <c r="D33" s="284"/>
      <c r="E33" s="281"/>
      <c r="F33" s="285" t="s">
        <v>381</v>
      </c>
      <c r="G33" s="286">
        <v>0.5</v>
      </c>
      <c r="H33" s="287">
        <v>0.02</v>
      </c>
      <c r="AA33" s="240" t="b">
        <v>1</v>
      </c>
      <c r="AB33" s="240">
        <f>IF(AA33=TRUE, 1, 0)</f>
        <v>1</v>
      </c>
    </row>
    <row r="34" spans="2:31" ht="18" customHeight="1" x14ac:dyDescent="0.35">
      <c r="B34" s="275"/>
      <c r="C34" s="279"/>
      <c r="D34" s="280"/>
      <c r="E34" s="281"/>
      <c r="F34" s="281"/>
      <c r="G34" s="284"/>
      <c r="H34" s="288"/>
    </row>
    <row r="35" spans="2:31" x14ac:dyDescent="0.25">
      <c r="C35" s="279"/>
      <c r="D35" s="289"/>
      <c r="E35" s="258" t="s">
        <v>329</v>
      </c>
      <c r="F35" s="285" t="s">
        <v>382</v>
      </c>
      <c r="G35" s="290">
        <v>70</v>
      </c>
      <c r="H35" s="287">
        <v>0.05</v>
      </c>
      <c r="K35" s="240" t="s">
        <v>13</v>
      </c>
      <c r="L35" s="240" t="s">
        <v>349</v>
      </c>
      <c r="AA35" s="240" t="b">
        <v>1</v>
      </c>
      <c r="AB35" s="240">
        <f>IF(AA35=TRUE, 1, 0)</f>
        <v>1</v>
      </c>
      <c r="AD35" s="240" t="s">
        <v>349</v>
      </c>
      <c r="AE35" s="240" t="s">
        <v>13</v>
      </c>
    </row>
    <row r="36" spans="2:31" x14ac:dyDescent="0.25">
      <c r="C36" s="279" t="s">
        <v>365</v>
      </c>
      <c r="D36" s="266"/>
      <c r="E36" s="258"/>
      <c r="F36" s="258"/>
      <c r="G36" s="289"/>
      <c r="H36" s="291"/>
      <c r="J36" s="292">
        <v>10</v>
      </c>
      <c r="K36" s="254">
        <f>K45*J36</f>
        <v>233413.0187332505</v>
      </c>
      <c r="L36" s="293">
        <f t="shared" ref="L36:L46" si="0">IF(PRCT1=0,$G$49,AD36)</f>
        <v>0.84571948189388169</v>
      </c>
      <c r="M36" s="294"/>
      <c r="AC36" s="240">
        <v>100</v>
      </c>
      <c r="AD36" s="295">
        <f t="shared" ref="AD36:AD45" si="1">(((85)-AD$46*100)/(1+2.71828^(-0.1*(AC36-47.5)))+(G$49*100))/100</f>
        <v>0.84571948189388169</v>
      </c>
      <c r="AE36" s="296">
        <f>K36</f>
        <v>233413.0187332505</v>
      </c>
    </row>
    <row r="37" spans="2:31" ht="15.75" thickBot="1" x14ac:dyDescent="0.3">
      <c r="C37" s="297" t="s">
        <v>422</v>
      </c>
      <c r="D37" s="289"/>
      <c r="E37" s="258" t="s">
        <v>327</v>
      </c>
      <c r="F37" s="285" t="s">
        <v>382</v>
      </c>
      <c r="G37" s="290">
        <v>200</v>
      </c>
      <c r="H37" s="287">
        <v>0.2</v>
      </c>
      <c r="J37" s="292">
        <v>9</v>
      </c>
      <c r="K37" s="254">
        <f>K45*J37</f>
        <v>210071.71685992545</v>
      </c>
      <c r="L37" s="293">
        <f t="shared" si="0"/>
        <v>0.83846779332026133</v>
      </c>
      <c r="M37" s="294"/>
      <c r="AA37" s="240" t="b">
        <v>0</v>
      </c>
      <c r="AB37" s="240">
        <f>IF(AA37=TRUE, 1, 0)</f>
        <v>0</v>
      </c>
      <c r="AC37" s="240">
        <v>90</v>
      </c>
      <c r="AD37" s="295">
        <f t="shared" si="1"/>
        <v>0.83846779332026133</v>
      </c>
      <c r="AE37" s="296">
        <f t="shared" ref="AE37:AE45" si="2">K37</f>
        <v>210071.71685992545</v>
      </c>
    </row>
    <row r="38" spans="2:31" ht="15.75" thickBot="1" x14ac:dyDescent="0.3">
      <c r="C38" s="298" t="s">
        <v>363</v>
      </c>
      <c r="D38" s="266"/>
      <c r="E38" s="258"/>
      <c r="F38" s="258"/>
      <c r="G38" s="290"/>
      <c r="H38" s="287"/>
      <c r="J38" s="292">
        <v>8</v>
      </c>
      <c r="K38" s="254">
        <f>K45*J38</f>
        <v>186730.4149866004</v>
      </c>
      <c r="L38" s="293">
        <f t="shared" si="0"/>
        <v>0.81939188796249329</v>
      </c>
      <c r="M38" s="294"/>
      <c r="AC38" s="240">
        <v>80</v>
      </c>
      <c r="AD38" s="295">
        <f t="shared" si="1"/>
        <v>0.81939188796249329</v>
      </c>
      <c r="AE38" s="296">
        <f t="shared" si="2"/>
        <v>186730.4149866004</v>
      </c>
    </row>
    <row r="39" spans="2:31" x14ac:dyDescent="0.25">
      <c r="C39" s="266"/>
      <c r="D39" s="289"/>
      <c r="E39" s="258" t="s">
        <v>328</v>
      </c>
      <c r="F39" s="285" t="s">
        <v>382</v>
      </c>
      <c r="G39" s="290">
        <v>100</v>
      </c>
      <c r="H39" s="287">
        <v>0.03</v>
      </c>
      <c r="J39" s="292">
        <v>7</v>
      </c>
      <c r="K39" s="254">
        <f>K45*J39</f>
        <v>163389.11311327535</v>
      </c>
      <c r="L39" s="293">
        <f t="shared" si="0"/>
        <v>0.77181333173273747</v>
      </c>
      <c r="M39" s="294"/>
      <c r="AA39" s="240" t="b">
        <v>0</v>
      </c>
      <c r="AB39" s="240">
        <f>IF(AA39=TRUE, 1, 0)</f>
        <v>0</v>
      </c>
      <c r="AC39" s="240">
        <v>70</v>
      </c>
      <c r="AD39" s="295">
        <f t="shared" si="1"/>
        <v>0.77181333173273747</v>
      </c>
      <c r="AE39" s="296">
        <f t="shared" si="2"/>
        <v>163389.11311327535</v>
      </c>
    </row>
    <row r="40" spans="2:31" x14ac:dyDescent="0.25">
      <c r="C40" s="266"/>
      <c r="D40" s="266"/>
      <c r="E40" s="258"/>
      <c r="F40" s="258"/>
      <c r="G40" s="290"/>
      <c r="H40" s="287"/>
      <c r="J40" s="292">
        <v>6</v>
      </c>
      <c r="K40" s="254">
        <f>K45*J40</f>
        <v>140047.8112399503</v>
      </c>
      <c r="L40" s="293">
        <f t="shared" si="0"/>
        <v>0.66738576681282846</v>
      </c>
      <c r="M40" s="294"/>
      <c r="AC40" s="240">
        <v>60.000000000000007</v>
      </c>
      <c r="AD40" s="295">
        <f t="shared" si="1"/>
        <v>0.66738576681282846</v>
      </c>
      <c r="AE40" s="296">
        <f t="shared" si="2"/>
        <v>140047.8112399503</v>
      </c>
    </row>
    <row r="41" spans="2:31" x14ac:dyDescent="0.25">
      <c r="C41" s="266"/>
      <c r="D41" s="289"/>
      <c r="E41" s="383" t="s">
        <v>459</v>
      </c>
      <c r="F41" s="285" t="s">
        <v>382</v>
      </c>
      <c r="G41" s="290">
        <v>1500</v>
      </c>
      <c r="H41" s="287">
        <v>0.13</v>
      </c>
      <c r="J41" s="292">
        <v>5</v>
      </c>
      <c r="K41" s="254">
        <f>K45*J41</f>
        <v>116706.50936662525</v>
      </c>
      <c r="L41" s="293">
        <f t="shared" si="0"/>
        <v>0.49098469678598833</v>
      </c>
      <c r="M41" s="294"/>
      <c r="AA41" s="240" t="b">
        <v>0</v>
      </c>
      <c r="AB41" s="240">
        <f>IF(AA41=TRUE, 1, 0)</f>
        <v>0</v>
      </c>
      <c r="AC41" s="240">
        <v>50</v>
      </c>
      <c r="AD41" s="295">
        <f t="shared" si="1"/>
        <v>0.49098469678598833</v>
      </c>
      <c r="AE41" s="296">
        <f t="shared" si="2"/>
        <v>116706.50936662525</v>
      </c>
    </row>
    <row r="42" spans="2:31" x14ac:dyDescent="0.25">
      <c r="C42" s="266" t="s">
        <v>373</v>
      </c>
      <c r="D42" s="266"/>
      <c r="E42" s="258"/>
      <c r="F42" s="258"/>
      <c r="G42" s="289"/>
      <c r="H42" s="300"/>
      <c r="J42" s="292">
        <v>4</v>
      </c>
      <c r="K42" s="254">
        <f>K45*J42</f>
        <v>93365.2074933002</v>
      </c>
      <c r="L42" s="293">
        <f t="shared" si="0"/>
        <v>0.29307355681529673</v>
      </c>
      <c r="M42" s="294"/>
      <c r="AC42" s="240">
        <v>40</v>
      </c>
      <c r="AD42" s="295">
        <f t="shared" si="1"/>
        <v>0.29307355681529673</v>
      </c>
      <c r="AE42" s="296">
        <f t="shared" si="2"/>
        <v>93365.2074933002</v>
      </c>
    </row>
    <row r="43" spans="2:31" x14ac:dyDescent="0.25">
      <c r="C43" s="299">
        <v>2018</v>
      </c>
      <c r="D43" s="266"/>
      <c r="E43" s="258"/>
      <c r="F43" s="301" t="s">
        <v>357</v>
      </c>
      <c r="G43" s="302">
        <v>2</v>
      </c>
      <c r="H43" s="303"/>
      <c r="J43" s="292">
        <v>3</v>
      </c>
      <c r="K43" s="254">
        <f>K45*J43</f>
        <v>70023.90561997515</v>
      </c>
      <c r="L43" s="293">
        <f t="shared" si="0"/>
        <v>0.15139882413310923</v>
      </c>
      <c r="M43" s="294"/>
      <c r="AC43" s="240">
        <v>30.000000000000004</v>
      </c>
      <c r="AD43" s="295">
        <f t="shared" si="1"/>
        <v>0.15139882413310923</v>
      </c>
      <c r="AE43" s="296">
        <f t="shared" si="2"/>
        <v>70023.90561997515</v>
      </c>
    </row>
    <row r="44" spans="2:31" ht="15.75" thickBot="1" x14ac:dyDescent="0.3">
      <c r="C44" s="266"/>
      <c r="D44" s="263"/>
      <c r="E44" s="263"/>
      <c r="F44" s="305" t="s">
        <v>330</v>
      </c>
      <c r="G44" s="306">
        <f>IF( SUM(AB35:AB41)&gt;0, SUMPRODUCT(AB35:AB41, $G35:$G41)+G43, 0)</f>
        <v>72</v>
      </c>
      <c r="H44" s="307"/>
      <c r="J44" s="292">
        <v>2</v>
      </c>
      <c r="K44" s="254">
        <f>K45*J44</f>
        <v>46682.6037466501</v>
      </c>
      <c r="L44" s="293">
        <f t="shared" si="0"/>
        <v>7.9271138807724253E-2</v>
      </c>
      <c r="M44" s="294"/>
      <c r="AC44" s="240">
        <v>20</v>
      </c>
      <c r="AD44" s="295">
        <f t="shared" si="1"/>
        <v>7.9271138807724253E-2</v>
      </c>
      <c r="AE44" s="296">
        <f t="shared" si="2"/>
        <v>46682.6037466501</v>
      </c>
    </row>
    <row r="45" spans="2:31" ht="15.75" thickBot="1" x14ac:dyDescent="0.3">
      <c r="C45" s="266"/>
      <c r="D45" s="258"/>
      <c r="E45" s="258"/>
      <c r="F45" s="309" t="s">
        <v>331</v>
      </c>
      <c r="G45" s="310"/>
      <c r="H45" s="311">
        <f>SUMPRODUCT(AB33:AB41, $H33:$H41)</f>
        <v>7.0000000000000007E-2</v>
      </c>
      <c r="J45" s="292">
        <v>1</v>
      </c>
      <c r="K45" s="304">
        <f>G51</f>
        <v>23341.30187332505</v>
      </c>
      <c r="L45" s="293">
        <f t="shared" si="0"/>
        <v>4.8841489760796879E-2</v>
      </c>
      <c r="M45" s="294"/>
      <c r="AC45" s="240">
        <v>10</v>
      </c>
      <c r="AD45" s="295">
        <f t="shared" si="1"/>
        <v>4.8841489760796879E-2</v>
      </c>
      <c r="AE45" s="296">
        <f t="shared" si="2"/>
        <v>23341.30187332505</v>
      </c>
    </row>
    <row r="46" spans="2:31" x14ac:dyDescent="0.25">
      <c r="C46" s="266"/>
      <c r="D46" s="258"/>
      <c r="E46" s="258"/>
      <c r="F46" s="309" t="s">
        <v>345</v>
      </c>
      <c r="G46" s="312">
        <f>VLOOKUP(C31, 'Community Inputs'!$C$11:$D$11, 2, FALSE)</f>
        <v>19572</v>
      </c>
      <c r="H46" s="313"/>
      <c r="K46" s="304">
        <f>0</f>
        <v>0</v>
      </c>
      <c r="L46" s="293">
        <f t="shared" si="0"/>
        <v>0.03</v>
      </c>
      <c r="M46" s="308"/>
      <c r="AC46" s="240">
        <v>0</v>
      </c>
      <c r="AD46" s="295">
        <f>G49</f>
        <v>0.03</v>
      </c>
      <c r="AE46" s="296">
        <v>0</v>
      </c>
    </row>
    <row r="47" spans="2:31" x14ac:dyDescent="0.25">
      <c r="C47" s="266"/>
      <c r="D47" s="258"/>
      <c r="E47" s="258"/>
      <c r="F47" s="314" t="s">
        <v>356</v>
      </c>
      <c r="G47" s="315">
        <f>VLOOKUP(C31,'MPARS INV &amp; Thrive Forecast'!C$6:U$99,19,FALSE)</f>
        <v>3.1187442666394865</v>
      </c>
      <c r="H47" s="303"/>
    </row>
    <row r="48" spans="2:31" x14ac:dyDescent="0.25">
      <c r="C48" s="266"/>
      <c r="D48" s="258"/>
      <c r="E48" s="258"/>
      <c r="F48" s="309" t="s">
        <v>366</v>
      </c>
      <c r="G48" s="316">
        <f>G46/G47</f>
        <v>6275.602719131969</v>
      </c>
      <c r="H48" s="303"/>
    </row>
    <row r="49" spans="1:32" x14ac:dyDescent="0.25">
      <c r="C49" s="266"/>
      <c r="D49" s="258"/>
      <c r="E49" s="258"/>
      <c r="F49" s="309" t="s">
        <v>343</v>
      </c>
      <c r="G49" s="317">
        <v>0.03</v>
      </c>
      <c r="H49" s="303"/>
    </row>
    <row r="50" spans="1:32" ht="15.75" thickBot="1" x14ac:dyDescent="0.3">
      <c r="C50" s="266"/>
      <c r="D50" s="258"/>
      <c r="E50" s="258"/>
      <c r="F50" s="314" t="s">
        <v>384</v>
      </c>
      <c r="G50" s="254">
        <f>IF(AB33=1, G46*G33, 0)</f>
        <v>9786</v>
      </c>
      <c r="H50" s="303"/>
      <c r="I50" s="308"/>
      <c r="J50" s="308"/>
    </row>
    <row r="51" spans="1:32" x14ac:dyDescent="0.25">
      <c r="C51" s="363"/>
      <c r="D51" s="272"/>
      <c r="E51" s="272"/>
      <c r="F51" s="321" t="s">
        <v>344</v>
      </c>
      <c r="G51" s="422">
        <f>(G48*G49*G44)+(G50)</f>
        <v>23341.30187332505</v>
      </c>
      <c r="H51" s="322"/>
      <c r="I51" s="318"/>
      <c r="J51" s="318"/>
      <c r="K51" s="319"/>
      <c r="L51" s="319"/>
      <c r="M51" s="319"/>
      <c r="N51" s="319"/>
      <c r="O51" s="319"/>
    </row>
    <row r="52" spans="1:32" s="272" customFormat="1" x14ac:dyDescent="0.25">
      <c r="A52" s="258"/>
      <c r="B52" s="319"/>
      <c r="C52" s="319"/>
      <c r="D52" s="319"/>
      <c r="E52" s="319"/>
      <c r="F52" s="320"/>
      <c r="G52" s="408"/>
      <c r="H52" s="411"/>
      <c r="I52" s="318"/>
      <c r="J52" s="318"/>
      <c r="K52" s="319"/>
      <c r="L52" s="319"/>
      <c r="M52" s="319"/>
      <c r="N52" s="319"/>
      <c r="O52" s="319"/>
      <c r="P52" s="319"/>
      <c r="Q52" s="319"/>
      <c r="R52" s="319"/>
      <c r="S52" s="319"/>
      <c r="T52" s="319"/>
      <c r="U52" s="319"/>
      <c r="V52" s="319"/>
      <c r="W52" s="319"/>
      <c r="X52" s="319"/>
      <c r="Y52" s="319"/>
      <c r="Z52" s="319"/>
      <c r="AA52" s="319"/>
      <c r="AB52" s="319"/>
      <c r="AC52" s="319"/>
      <c r="AD52" s="319"/>
      <c r="AE52" s="319"/>
      <c r="AF52" s="319"/>
    </row>
    <row r="53" spans="1:32" ht="21" x14ac:dyDescent="0.35">
      <c r="A53" s="258"/>
      <c r="B53" s="403"/>
      <c r="C53" s="319"/>
      <c r="D53" s="515"/>
      <c r="E53" s="515"/>
      <c r="F53" s="515"/>
      <c r="G53" s="412"/>
      <c r="H53" s="413"/>
      <c r="I53" s="320"/>
      <c r="J53" s="320"/>
      <c r="K53" s="320"/>
      <c r="L53" s="320"/>
      <c r="M53" s="320"/>
      <c r="N53" s="320"/>
      <c r="O53" s="320"/>
      <c r="P53" s="319"/>
      <c r="Q53" s="319"/>
      <c r="R53" s="319"/>
      <c r="S53" s="319"/>
      <c r="T53" s="319"/>
      <c r="U53" s="319"/>
      <c r="V53" s="319"/>
      <c r="W53" s="319"/>
      <c r="X53" s="319"/>
      <c r="Y53" s="319"/>
      <c r="Z53" s="319"/>
      <c r="AA53" s="319"/>
      <c r="AB53" s="319"/>
      <c r="AC53" s="319"/>
      <c r="AD53" s="319"/>
      <c r="AE53" s="319"/>
      <c r="AF53" s="319"/>
    </row>
    <row r="54" spans="1:32" ht="16.7" customHeight="1" x14ac:dyDescent="0.35">
      <c r="A54" s="258"/>
      <c r="B54" s="403"/>
      <c r="C54" s="319"/>
      <c r="D54" s="400"/>
      <c r="E54" s="400"/>
      <c r="F54" s="400"/>
      <c r="G54" s="400"/>
      <c r="H54" s="400"/>
      <c r="I54" s="319"/>
      <c r="J54" s="319"/>
      <c r="K54" s="319"/>
      <c r="L54" s="319"/>
      <c r="M54" s="319"/>
      <c r="N54" s="404"/>
      <c r="O54" s="319"/>
      <c r="P54" s="319"/>
      <c r="Q54" s="319"/>
      <c r="R54" s="319"/>
      <c r="S54" s="319"/>
      <c r="T54" s="319"/>
      <c r="U54" s="319"/>
      <c r="V54" s="319"/>
      <c r="W54" s="319"/>
      <c r="X54" s="319"/>
      <c r="Y54" s="319"/>
      <c r="Z54" s="319"/>
      <c r="AA54" s="319"/>
      <c r="AB54" s="319"/>
      <c r="AC54" s="319"/>
      <c r="AD54" s="319"/>
      <c r="AE54" s="319"/>
      <c r="AF54" s="319"/>
    </row>
    <row r="55" spans="1:32" ht="24" customHeight="1" x14ac:dyDescent="0.35">
      <c r="A55" s="258"/>
      <c r="B55" s="403"/>
      <c r="C55" s="319"/>
      <c r="D55" s="400"/>
      <c r="E55" s="400"/>
      <c r="F55" s="401"/>
      <c r="G55" s="414"/>
      <c r="H55" s="415"/>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row>
    <row r="56" spans="1:32" ht="15.6" customHeight="1" x14ac:dyDescent="0.35">
      <c r="A56" s="258"/>
      <c r="B56" s="403"/>
      <c r="C56" s="319"/>
      <c r="D56" s="400"/>
      <c r="E56" s="400"/>
      <c r="F56" s="400"/>
      <c r="G56" s="400"/>
      <c r="H56" s="400"/>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row>
    <row r="57" spans="1:32" ht="15.6" customHeight="1" x14ac:dyDescent="0.25">
      <c r="A57" s="258"/>
      <c r="B57" s="319"/>
      <c r="C57" s="319"/>
      <c r="D57" s="319"/>
      <c r="E57" s="319"/>
      <c r="F57" s="401"/>
      <c r="G57" s="416"/>
      <c r="H57" s="415"/>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row>
    <row r="58" spans="1:32" ht="15.6" customHeight="1" x14ac:dyDescent="0.25">
      <c r="A58" s="258"/>
      <c r="B58" s="319"/>
      <c r="C58" s="319"/>
      <c r="D58" s="319"/>
      <c r="E58" s="319"/>
      <c r="F58" s="319"/>
      <c r="G58" s="319"/>
      <c r="H58" s="417"/>
      <c r="I58" s="319"/>
      <c r="J58" s="319"/>
      <c r="K58" s="319"/>
      <c r="L58" s="319"/>
      <c r="M58" s="319"/>
      <c r="N58" s="319"/>
      <c r="O58" s="319"/>
      <c r="P58" s="319"/>
      <c r="Q58" s="319"/>
      <c r="R58" s="319"/>
      <c r="S58" s="319"/>
      <c r="T58" s="319"/>
      <c r="U58" s="319"/>
      <c r="V58" s="319"/>
      <c r="W58" s="319"/>
      <c r="X58" s="319"/>
      <c r="Y58" s="319"/>
      <c r="Z58" s="319"/>
      <c r="AA58" s="319"/>
      <c r="AB58" s="319"/>
      <c r="AC58" s="319"/>
      <c r="AD58" s="405"/>
      <c r="AE58" s="406"/>
      <c r="AF58" s="319"/>
    </row>
    <row r="59" spans="1:32" x14ac:dyDescent="0.25">
      <c r="A59" s="258"/>
      <c r="B59" s="319"/>
      <c r="C59" s="418"/>
      <c r="D59" s="319"/>
      <c r="E59" s="319"/>
      <c r="F59" s="401"/>
      <c r="G59" s="416"/>
      <c r="H59" s="415"/>
      <c r="I59" s="319"/>
      <c r="J59" s="319"/>
      <c r="K59" s="319"/>
      <c r="L59" s="319"/>
      <c r="M59" s="319"/>
      <c r="N59" s="319"/>
      <c r="O59" s="319"/>
      <c r="P59" s="319"/>
      <c r="Q59" s="319"/>
      <c r="R59" s="319"/>
      <c r="S59" s="319"/>
      <c r="T59" s="319"/>
      <c r="U59" s="319"/>
      <c r="V59" s="319"/>
      <c r="W59" s="319"/>
      <c r="X59" s="319"/>
      <c r="Y59" s="319"/>
      <c r="Z59" s="319"/>
      <c r="AA59" s="319"/>
      <c r="AB59" s="319"/>
      <c r="AC59" s="319"/>
      <c r="AD59" s="405"/>
      <c r="AE59" s="406"/>
      <c r="AF59" s="319"/>
    </row>
    <row r="60" spans="1:32" x14ac:dyDescent="0.25">
      <c r="A60" s="258"/>
      <c r="B60" s="319"/>
      <c r="C60" s="319"/>
      <c r="D60" s="319"/>
      <c r="E60" s="319"/>
      <c r="F60" s="319"/>
      <c r="G60" s="416"/>
      <c r="H60" s="415"/>
      <c r="I60" s="319"/>
      <c r="J60" s="407"/>
      <c r="K60" s="408"/>
      <c r="L60" s="409"/>
      <c r="M60" s="410"/>
      <c r="N60" s="319"/>
      <c r="O60" s="319"/>
      <c r="P60" s="319"/>
      <c r="Q60" s="319"/>
      <c r="R60" s="319"/>
      <c r="S60" s="319"/>
      <c r="T60" s="319"/>
      <c r="U60" s="319"/>
      <c r="V60" s="319"/>
      <c r="W60" s="319"/>
      <c r="X60" s="319"/>
      <c r="Y60" s="319"/>
      <c r="Z60" s="319"/>
      <c r="AA60" s="319"/>
      <c r="AB60" s="319"/>
      <c r="AC60" s="319"/>
      <c r="AD60" s="405"/>
      <c r="AE60" s="406"/>
      <c r="AF60" s="319"/>
    </row>
    <row r="61" spans="1:32" x14ac:dyDescent="0.25">
      <c r="A61" s="258"/>
      <c r="B61" s="319"/>
      <c r="C61" s="319"/>
      <c r="D61" s="319"/>
      <c r="E61" s="319"/>
      <c r="F61" s="401"/>
      <c r="G61" s="416"/>
      <c r="H61" s="415"/>
      <c r="I61" s="319"/>
      <c r="J61" s="407"/>
      <c r="K61" s="408"/>
      <c r="L61" s="409"/>
      <c r="M61" s="410"/>
      <c r="N61" s="319"/>
      <c r="O61" s="319"/>
      <c r="P61" s="319"/>
      <c r="Q61" s="319"/>
      <c r="R61" s="319"/>
      <c r="S61" s="319"/>
      <c r="T61" s="319"/>
      <c r="U61" s="319"/>
      <c r="V61" s="319"/>
      <c r="W61" s="319"/>
      <c r="X61" s="319"/>
      <c r="Y61" s="319"/>
      <c r="Z61" s="319"/>
      <c r="AA61" s="319"/>
      <c r="AB61" s="319"/>
      <c r="AC61" s="319"/>
      <c r="AD61" s="405"/>
      <c r="AE61" s="406"/>
      <c r="AF61" s="319"/>
    </row>
    <row r="62" spans="1:32" x14ac:dyDescent="0.25">
      <c r="A62" s="258"/>
      <c r="B62" s="319"/>
      <c r="C62" s="319"/>
      <c r="D62" s="319"/>
      <c r="E62" s="319"/>
      <c r="F62" s="319"/>
      <c r="G62" s="416"/>
      <c r="H62" s="415"/>
      <c r="I62" s="319"/>
      <c r="J62" s="407"/>
      <c r="K62" s="408"/>
      <c r="L62" s="409"/>
      <c r="M62" s="410"/>
      <c r="N62" s="319"/>
      <c r="O62" s="319"/>
      <c r="P62" s="319"/>
      <c r="Q62" s="319"/>
      <c r="R62" s="319"/>
      <c r="S62" s="319"/>
      <c r="T62" s="319"/>
      <c r="U62" s="319"/>
      <c r="V62" s="319"/>
      <c r="W62" s="319"/>
      <c r="X62" s="319"/>
      <c r="Y62" s="319"/>
      <c r="Z62" s="319"/>
      <c r="AA62" s="319"/>
      <c r="AB62" s="319"/>
      <c r="AC62" s="319"/>
      <c r="AD62" s="405"/>
      <c r="AE62" s="406"/>
      <c r="AF62" s="319"/>
    </row>
    <row r="63" spans="1:32" x14ac:dyDescent="0.25">
      <c r="A63" s="258"/>
      <c r="B63" s="319"/>
      <c r="C63" s="319"/>
      <c r="D63" s="319"/>
      <c r="E63" s="71"/>
      <c r="F63" s="401"/>
      <c r="G63" s="416"/>
      <c r="H63" s="415"/>
      <c r="I63" s="319"/>
      <c r="J63" s="407"/>
      <c r="K63" s="408"/>
      <c r="L63" s="409"/>
      <c r="M63" s="410"/>
      <c r="N63" s="319"/>
      <c r="O63" s="319"/>
      <c r="P63" s="319"/>
      <c r="Q63" s="319"/>
      <c r="R63" s="319"/>
      <c r="S63" s="319"/>
      <c r="T63" s="319"/>
      <c r="U63" s="319"/>
      <c r="V63" s="319"/>
      <c r="W63" s="319"/>
      <c r="X63" s="319"/>
      <c r="Y63" s="319"/>
      <c r="Z63" s="319"/>
      <c r="AA63" s="319"/>
      <c r="AB63" s="319"/>
      <c r="AC63" s="319"/>
      <c r="AD63" s="405"/>
      <c r="AE63" s="406"/>
      <c r="AF63" s="319"/>
    </row>
    <row r="64" spans="1:32" x14ac:dyDescent="0.25">
      <c r="A64" s="258"/>
      <c r="B64" s="319"/>
      <c r="C64" s="319"/>
      <c r="D64" s="319"/>
      <c r="E64" s="319"/>
      <c r="F64" s="319"/>
      <c r="G64" s="319"/>
      <c r="H64" s="319"/>
      <c r="I64" s="319"/>
      <c r="J64" s="407"/>
      <c r="K64" s="408"/>
      <c r="L64" s="409"/>
      <c r="M64" s="410"/>
      <c r="N64" s="319"/>
      <c r="O64" s="319"/>
      <c r="P64" s="319"/>
      <c r="Q64" s="319"/>
      <c r="R64" s="319"/>
      <c r="S64" s="319"/>
      <c r="T64" s="319"/>
      <c r="U64" s="319"/>
      <c r="V64" s="319"/>
      <c r="W64" s="319"/>
      <c r="X64" s="319"/>
      <c r="Y64" s="319"/>
      <c r="Z64" s="319"/>
      <c r="AA64" s="319"/>
      <c r="AB64" s="319"/>
      <c r="AC64" s="319"/>
      <c r="AD64" s="405"/>
      <c r="AE64" s="406"/>
      <c r="AF64" s="319"/>
    </row>
    <row r="65" spans="1:32" x14ac:dyDescent="0.25">
      <c r="A65" s="258"/>
      <c r="B65" s="319"/>
      <c r="C65" s="419"/>
      <c r="D65" s="319"/>
      <c r="E65" s="319"/>
      <c r="F65" s="401"/>
      <c r="G65" s="420"/>
      <c r="H65" s="411"/>
      <c r="I65" s="319"/>
      <c r="J65" s="407"/>
      <c r="K65" s="408"/>
      <c r="L65" s="409"/>
      <c r="M65" s="410"/>
      <c r="N65" s="319"/>
      <c r="O65" s="319"/>
      <c r="P65" s="319"/>
      <c r="Q65" s="319"/>
      <c r="R65" s="319"/>
      <c r="S65" s="319"/>
      <c r="T65" s="319"/>
      <c r="U65" s="319"/>
      <c r="V65" s="319"/>
      <c r="W65" s="319"/>
      <c r="X65" s="319"/>
      <c r="Y65" s="319"/>
      <c r="Z65" s="319"/>
      <c r="AA65" s="319"/>
      <c r="AB65" s="319"/>
      <c r="AC65" s="319"/>
      <c r="AD65" s="405"/>
      <c r="AE65" s="406"/>
      <c r="AF65" s="319"/>
    </row>
    <row r="66" spans="1:32" x14ac:dyDescent="0.25">
      <c r="A66" s="258"/>
      <c r="B66" s="319"/>
      <c r="C66" s="319"/>
      <c r="D66" s="319"/>
      <c r="E66" s="319"/>
      <c r="F66" s="320"/>
      <c r="G66" s="416"/>
      <c r="H66" s="319"/>
      <c r="I66" s="319"/>
      <c r="J66" s="407"/>
      <c r="K66" s="408"/>
      <c r="L66" s="409"/>
      <c r="M66" s="410"/>
      <c r="N66" s="319"/>
      <c r="O66" s="319"/>
      <c r="P66" s="319"/>
      <c r="Q66" s="319"/>
      <c r="R66" s="319"/>
      <c r="S66" s="319"/>
      <c r="T66" s="319"/>
      <c r="U66" s="319"/>
      <c r="V66" s="319"/>
      <c r="W66" s="319"/>
      <c r="X66" s="319"/>
      <c r="Y66" s="319"/>
      <c r="Z66" s="319"/>
      <c r="AA66" s="319"/>
      <c r="AB66" s="319"/>
      <c r="AC66" s="319"/>
      <c r="AD66" s="405"/>
      <c r="AE66" s="406"/>
      <c r="AF66" s="319"/>
    </row>
    <row r="67" spans="1:32" x14ac:dyDescent="0.25">
      <c r="A67" s="258"/>
      <c r="B67" s="319"/>
      <c r="C67" s="319"/>
      <c r="D67" s="319"/>
      <c r="E67" s="319"/>
      <c r="F67" s="320"/>
      <c r="G67" s="319"/>
      <c r="H67" s="411"/>
      <c r="I67" s="319"/>
      <c r="J67" s="407"/>
      <c r="K67" s="408"/>
      <c r="L67" s="409"/>
      <c r="M67" s="410"/>
      <c r="N67" s="319"/>
      <c r="O67" s="319"/>
      <c r="P67" s="319"/>
      <c r="Q67" s="319"/>
      <c r="R67" s="319"/>
      <c r="S67" s="319"/>
      <c r="T67" s="319"/>
      <c r="U67" s="319"/>
      <c r="V67" s="319"/>
      <c r="W67" s="319"/>
      <c r="X67" s="319"/>
      <c r="Y67" s="319"/>
      <c r="Z67" s="319"/>
      <c r="AA67" s="319"/>
      <c r="AB67" s="319"/>
      <c r="AC67" s="319"/>
      <c r="AD67" s="405"/>
      <c r="AE67" s="406"/>
      <c r="AF67" s="319"/>
    </row>
    <row r="68" spans="1:32" x14ac:dyDescent="0.25">
      <c r="A68" s="258"/>
      <c r="B68" s="319"/>
      <c r="C68" s="319"/>
      <c r="D68" s="319"/>
      <c r="E68" s="319"/>
      <c r="F68" s="320"/>
      <c r="G68" s="402"/>
      <c r="H68" s="411"/>
      <c r="I68" s="319"/>
      <c r="J68" s="407"/>
      <c r="K68" s="408"/>
      <c r="L68" s="409"/>
      <c r="M68" s="410"/>
      <c r="N68" s="319"/>
      <c r="O68" s="319"/>
      <c r="P68" s="319"/>
      <c r="Q68" s="319"/>
      <c r="R68" s="319"/>
      <c r="S68" s="319"/>
      <c r="T68" s="319"/>
      <c r="U68" s="319"/>
      <c r="V68" s="319"/>
      <c r="W68" s="319"/>
      <c r="X68" s="319"/>
      <c r="Y68" s="319"/>
      <c r="Z68" s="319"/>
      <c r="AA68" s="319"/>
      <c r="AB68" s="319"/>
      <c r="AC68" s="319"/>
      <c r="AD68" s="405"/>
      <c r="AE68" s="406"/>
      <c r="AF68" s="319"/>
    </row>
    <row r="69" spans="1:32" x14ac:dyDescent="0.25">
      <c r="A69" s="258"/>
      <c r="B69" s="319"/>
      <c r="C69" s="319"/>
      <c r="D69" s="319"/>
      <c r="E69" s="319"/>
      <c r="F69" s="320"/>
      <c r="G69" s="421"/>
      <c r="H69" s="411"/>
      <c r="I69" s="319"/>
      <c r="J69" s="407"/>
      <c r="K69" s="408"/>
      <c r="L69" s="409"/>
      <c r="M69" s="410"/>
      <c r="N69" s="319"/>
      <c r="O69" s="319"/>
      <c r="P69" s="319"/>
      <c r="Q69" s="319"/>
      <c r="R69" s="319"/>
      <c r="S69" s="319"/>
      <c r="T69" s="319"/>
      <c r="U69" s="319"/>
      <c r="V69" s="319"/>
      <c r="W69" s="319"/>
      <c r="X69" s="319"/>
      <c r="Y69" s="319"/>
      <c r="Z69" s="319"/>
      <c r="AA69" s="319"/>
      <c r="AB69" s="319"/>
      <c r="AC69" s="319"/>
      <c r="AD69" s="319"/>
      <c r="AE69" s="319"/>
      <c r="AF69" s="319"/>
    </row>
    <row r="70" spans="1:32" x14ac:dyDescent="0.25">
      <c r="A70" s="258"/>
      <c r="B70" s="319"/>
      <c r="C70" s="319"/>
      <c r="D70" s="319"/>
      <c r="E70" s="319"/>
      <c r="F70" s="320"/>
      <c r="G70" s="402"/>
      <c r="H70" s="411"/>
      <c r="I70" s="319"/>
      <c r="J70" s="319"/>
      <c r="K70" s="408"/>
      <c r="L70" s="409"/>
      <c r="M70" s="319"/>
      <c r="N70" s="319"/>
      <c r="O70" s="319"/>
      <c r="P70" s="319"/>
      <c r="Q70" s="319"/>
      <c r="R70" s="319"/>
      <c r="S70" s="319"/>
      <c r="T70" s="319"/>
      <c r="U70" s="319"/>
      <c r="V70" s="319"/>
      <c r="W70" s="319"/>
      <c r="X70" s="319"/>
      <c r="Y70" s="319"/>
      <c r="Z70" s="319"/>
      <c r="AA70" s="319"/>
      <c r="AB70" s="319"/>
      <c r="AC70" s="319"/>
      <c r="AD70" s="319"/>
      <c r="AE70" s="319"/>
      <c r="AF70" s="319"/>
    </row>
    <row r="71" spans="1:32" x14ac:dyDescent="0.25">
      <c r="A71" s="258"/>
      <c r="B71" s="319"/>
      <c r="C71" s="319"/>
      <c r="D71" s="319"/>
      <c r="E71" s="319"/>
      <c r="F71" s="320"/>
      <c r="G71" s="411"/>
      <c r="H71" s="411"/>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row>
    <row r="72" spans="1:32" x14ac:dyDescent="0.25">
      <c r="A72" s="258"/>
      <c r="B72" s="319"/>
      <c r="C72" s="319"/>
      <c r="D72" s="319"/>
      <c r="E72" s="319"/>
      <c r="F72" s="320"/>
      <c r="G72" s="408"/>
      <c r="H72" s="411"/>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row>
    <row r="73" spans="1:32" x14ac:dyDescent="0.25">
      <c r="A73" s="258"/>
      <c r="B73" s="319"/>
      <c r="C73" s="319"/>
      <c r="D73" s="319"/>
      <c r="E73" s="319"/>
      <c r="F73" s="320"/>
      <c r="G73" s="408"/>
      <c r="H73" s="411"/>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row>
    <row r="74" spans="1:32" s="272" customFormat="1" x14ac:dyDescent="0.25">
      <c r="A74" s="258"/>
      <c r="B74" s="319"/>
      <c r="C74" s="319"/>
      <c r="D74" s="319"/>
      <c r="E74" s="319"/>
      <c r="F74" s="320"/>
      <c r="G74" s="408"/>
      <c r="H74" s="411"/>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row>
    <row r="75" spans="1:32" ht="21" x14ac:dyDescent="0.35">
      <c r="A75" s="258"/>
      <c r="B75" s="403"/>
      <c r="C75" s="319"/>
      <c r="D75" s="515"/>
      <c r="E75" s="515"/>
      <c r="F75" s="515"/>
      <c r="G75" s="412"/>
      <c r="H75" s="413"/>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row>
    <row r="76" spans="1:32" ht="18.600000000000001" customHeight="1" x14ac:dyDescent="0.35">
      <c r="A76" s="258"/>
      <c r="B76" s="403"/>
      <c r="C76" s="319"/>
      <c r="D76" s="400"/>
      <c r="E76" s="400"/>
      <c r="F76" s="400"/>
      <c r="G76" s="400"/>
      <c r="H76" s="400"/>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row>
    <row r="77" spans="1:32" ht="21" x14ac:dyDescent="0.35">
      <c r="A77" s="258"/>
      <c r="B77" s="403"/>
      <c r="C77" s="319"/>
      <c r="D77" s="400"/>
      <c r="E77" s="400"/>
      <c r="F77" s="401"/>
      <c r="G77" s="414"/>
      <c r="H77" s="415"/>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row>
    <row r="78" spans="1:32" ht="21" x14ac:dyDescent="0.35">
      <c r="A78" s="258"/>
      <c r="B78" s="403"/>
      <c r="C78" s="319"/>
      <c r="D78" s="400"/>
      <c r="E78" s="400"/>
      <c r="F78" s="400"/>
      <c r="G78" s="400"/>
      <c r="H78" s="400"/>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row>
    <row r="79" spans="1:32" x14ac:dyDescent="0.25">
      <c r="A79" s="258"/>
      <c r="B79" s="319"/>
      <c r="C79" s="319"/>
      <c r="D79" s="319"/>
      <c r="E79" s="319"/>
      <c r="F79" s="401"/>
      <c r="G79" s="416"/>
      <c r="H79" s="415"/>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row>
    <row r="80" spans="1:32" ht="18" customHeight="1" x14ac:dyDescent="0.25">
      <c r="A80" s="258"/>
      <c r="B80" s="319"/>
      <c r="C80" s="319"/>
      <c r="D80" s="319"/>
      <c r="E80" s="319"/>
      <c r="F80" s="319"/>
      <c r="G80" s="319"/>
      <c r="H80" s="417"/>
      <c r="I80" s="319"/>
      <c r="J80" s="407"/>
      <c r="K80" s="408"/>
      <c r="L80" s="409"/>
      <c r="M80" s="319"/>
      <c r="N80" s="319"/>
      <c r="O80" s="319"/>
      <c r="P80" s="319"/>
      <c r="Q80" s="319"/>
      <c r="R80" s="319"/>
      <c r="S80" s="319"/>
      <c r="T80" s="319"/>
      <c r="U80" s="319"/>
      <c r="V80" s="319"/>
      <c r="W80" s="319"/>
      <c r="X80" s="319"/>
      <c r="Y80" s="319"/>
      <c r="Z80" s="319"/>
      <c r="AA80" s="319"/>
      <c r="AB80" s="319"/>
      <c r="AC80" s="319"/>
      <c r="AD80" s="405"/>
      <c r="AE80" s="406"/>
      <c r="AF80" s="319"/>
    </row>
    <row r="81" spans="1:32" ht="18" customHeight="1" x14ac:dyDescent="0.25">
      <c r="A81" s="258"/>
      <c r="B81" s="319"/>
      <c r="C81" s="418"/>
      <c r="D81" s="319"/>
      <c r="E81" s="319"/>
      <c r="F81" s="401"/>
      <c r="G81" s="416"/>
      <c r="H81" s="415"/>
      <c r="I81" s="319"/>
      <c r="J81" s="407"/>
      <c r="K81" s="408"/>
      <c r="L81" s="409"/>
      <c r="M81" s="319"/>
      <c r="N81" s="319"/>
      <c r="O81" s="319"/>
      <c r="P81" s="319"/>
      <c r="Q81" s="319"/>
      <c r="R81" s="319"/>
      <c r="S81" s="319"/>
      <c r="T81" s="319"/>
      <c r="U81" s="319"/>
      <c r="V81" s="319"/>
      <c r="W81" s="319"/>
      <c r="X81" s="319"/>
      <c r="Y81" s="319"/>
      <c r="Z81" s="319"/>
      <c r="AA81" s="319"/>
      <c r="AB81" s="319"/>
      <c r="AC81" s="319"/>
      <c r="AD81" s="405"/>
      <c r="AE81" s="406"/>
      <c r="AF81" s="319"/>
    </row>
    <row r="82" spans="1:32" ht="18" customHeight="1" x14ac:dyDescent="0.25">
      <c r="A82" s="258"/>
      <c r="B82" s="319"/>
      <c r="C82" s="319"/>
      <c r="D82" s="319"/>
      <c r="E82" s="319"/>
      <c r="F82" s="319"/>
      <c r="G82" s="416"/>
      <c r="H82" s="415"/>
      <c r="I82" s="319"/>
      <c r="J82" s="407"/>
      <c r="K82" s="408"/>
      <c r="L82" s="409"/>
      <c r="M82" s="319"/>
      <c r="N82" s="319"/>
      <c r="O82" s="319"/>
      <c r="P82" s="319"/>
      <c r="Q82" s="319"/>
      <c r="R82" s="319"/>
      <c r="S82" s="319"/>
      <c r="T82" s="319"/>
      <c r="U82" s="319"/>
      <c r="V82" s="319"/>
      <c r="W82" s="319"/>
      <c r="X82" s="319"/>
      <c r="Y82" s="319"/>
      <c r="Z82" s="319"/>
      <c r="AA82" s="319"/>
      <c r="AB82" s="319"/>
      <c r="AC82" s="319"/>
      <c r="AD82" s="405"/>
      <c r="AE82" s="406"/>
      <c r="AF82" s="319"/>
    </row>
    <row r="83" spans="1:32" x14ac:dyDescent="0.25">
      <c r="A83" s="258"/>
      <c r="B83" s="319"/>
      <c r="C83" s="319"/>
      <c r="D83" s="319"/>
      <c r="E83" s="319"/>
      <c r="F83" s="401"/>
      <c r="G83" s="416"/>
      <c r="H83" s="415"/>
      <c r="I83" s="319"/>
      <c r="J83" s="407"/>
      <c r="K83" s="408"/>
      <c r="L83" s="409"/>
      <c r="M83" s="319"/>
      <c r="N83" s="319"/>
      <c r="O83" s="319"/>
      <c r="P83" s="319"/>
      <c r="Q83" s="319"/>
      <c r="R83" s="319"/>
      <c r="S83" s="319"/>
      <c r="T83" s="319"/>
      <c r="U83" s="319"/>
      <c r="V83" s="319"/>
      <c r="W83" s="319"/>
      <c r="X83" s="319"/>
      <c r="Y83" s="319"/>
      <c r="Z83" s="319"/>
      <c r="AA83" s="319"/>
      <c r="AB83" s="319"/>
      <c r="AC83" s="319"/>
      <c r="AD83" s="405"/>
      <c r="AE83" s="406"/>
      <c r="AF83" s="319"/>
    </row>
    <row r="84" spans="1:32" x14ac:dyDescent="0.25">
      <c r="A84" s="258"/>
      <c r="B84" s="319"/>
      <c r="C84" s="319"/>
      <c r="D84" s="319"/>
      <c r="E84" s="319"/>
      <c r="F84" s="319"/>
      <c r="G84" s="416"/>
      <c r="H84" s="415"/>
      <c r="I84" s="319"/>
      <c r="J84" s="407"/>
      <c r="K84" s="408"/>
      <c r="L84" s="409"/>
      <c r="M84" s="410"/>
      <c r="N84" s="319"/>
      <c r="O84" s="319"/>
      <c r="P84" s="319"/>
      <c r="Q84" s="319"/>
      <c r="R84" s="319"/>
      <c r="S84" s="319"/>
      <c r="T84" s="319"/>
      <c r="U84" s="319"/>
      <c r="V84" s="319"/>
      <c r="W84" s="319"/>
      <c r="X84" s="319"/>
      <c r="Y84" s="319"/>
      <c r="Z84" s="319"/>
      <c r="AA84" s="319"/>
      <c r="AB84" s="319"/>
      <c r="AC84" s="319"/>
      <c r="AD84" s="405"/>
      <c r="AE84" s="406"/>
      <c r="AF84" s="319"/>
    </row>
    <row r="85" spans="1:32" x14ac:dyDescent="0.25">
      <c r="A85" s="258"/>
      <c r="B85" s="319"/>
      <c r="C85" s="319"/>
      <c r="D85" s="319"/>
      <c r="E85" s="71"/>
      <c r="F85" s="401"/>
      <c r="G85" s="416"/>
      <c r="H85" s="415"/>
      <c r="I85" s="319"/>
      <c r="J85" s="407"/>
      <c r="K85" s="408"/>
      <c r="L85" s="409"/>
      <c r="M85" s="410"/>
      <c r="N85" s="319"/>
      <c r="O85" s="319"/>
      <c r="P85" s="319"/>
      <c r="Q85" s="319"/>
      <c r="R85" s="319"/>
      <c r="S85" s="319"/>
      <c r="T85" s="319"/>
      <c r="U85" s="319"/>
      <c r="V85" s="319"/>
      <c r="W85" s="319"/>
      <c r="X85" s="319"/>
      <c r="Y85" s="319"/>
      <c r="Z85" s="319"/>
      <c r="AA85" s="319"/>
      <c r="AB85" s="319"/>
      <c r="AC85" s="319"/>
      <c r="AD85" s="405"/>
      <c r="AE85" s="406"/>
      <c r="AF85" s="319"/>
    </row>
    <row r="86" spans="1:32" x14ac:dyDescent="0.25">
      <c r="A86" s="258"/>
      <c r="B86" s="319"/>
      <c r="C86" s="319"/>
      <c r="D86" s="319"/>
      <c r="E86" s="319"/>
      <c r="F86" s="319"/>
      <c r="G86" s="319"/>
      <c r="H86" s="319"/>
      <c r="I86" s="319"/>
      <c r="J86" s="407"/>
      <c r="K86" s="408"/>
      <c r="L86" s="409"/>
      <c r="M86" s="410"/>
      <c r="N86" s="319"/>
      <c r="O86" s="319"/>
      <c r="P86" s="319"/>
      <c r="Q86" s="319"/>
      <c r="R86" s="319"/>
      <c r="S86" s="319"/>
      <c r="T86" s="319"/>
      <c r="U86" s="319"/>
      <c r="V86" s="319"/>
      <c r="W86" s="319"/>
      <c r="X86" s="319"/>
      <c r="Y86" s="319"/>
      <c r="Z86" s="319"/>
      <c r="AA86" s="319"/>
      <c r="AB86" s="319"/>
      <c r="AC86" s="319"/>
      <c r="AD86" s="405"/>
      <c r="AE86" s="406"/>
      <c r="AF86" s="319"/>
    </row>
    <row r="87" spans="1:32" x14ac:dyDescent="0.25">
      <c r="A87" s="258"/>
      <c r="B87" s="319"/>
      <c r="C87" s="419"/>
      <c r="D87" s="319"/>
      <c r="E87" s="319"/>
      <c r="F87" s="401"/>
      <c r="G87" s="420"/>
      <c r="H87" s="411"/>
      <c r="I87" s="319"/>
      <c r="J87" s="407"/>
      <c r="K87" s="408"/>
      <c r="L87" s="409"/>
      <c r="M87" s="410"/>
      <c r="N87" s="319"/>
      <c r="O87" s="319"/>
      <c r="P87" s="319"/>
      <c r="Q87" s="319"/>
      <c r="R87" s="319"/>
      <c r="S87" s="319"/>
      <c r="T87" s="319"/>
      <c r="U87" s="319"/>
      <c r="V87" s="319"/>
      <c r="W87" s="319"/>
      <c r="X87" s="319"/>
      <c r="Y87" s="319"/>
      <c r="Z87" s="319"/>
      <c r="AA87" s="319"/>
      <c r="AB87" s="319"/>
      <c r="AC87" s="319"/>
      <c r="AD87" s="405"/>
      <c r="AE87" s="406"/>
      <c r="AF87" s="319"/>
    </row>
    <row r="88" spans="1:32" x14ac:dyDescent="0.25">
      <c r="A88" s="258"/>
      <c r="B88" s="319"/>
      <c r="C88" s="319"/>
      <c r="D88" s="319"/>
      <c r="E88" s="319"/>
      <c r="F88" s="320"/>
      <c r="G88" s="416"/>
      <c r="H88" s="319"/>
      <c r="I88" s="319"/>
      <c r="J88" s="407"/>
      <c r="K88" s="408"/>
      <c r="L88" s="409"/>
      <c r="M88" s="410"/>
      <c r="N88" s="319"/>
      <c r="O88" s="319"/>
      <c r="P88" s="319"/>
      <c r="Q88" s="319"/>
      <c r="R88" s="319"/>
      <c r="S88" s="319"/>
      <c r="T88" s="319"/>
      <c r="U88" s="319"/>
      <c r="V88" s="319"/>
      <c r="W88" s="319"/>
      <c r="X88" s="319"/>
      <c r="Y88" s="319"/>
      <c r="Z88" s="319"/>
      <c r="AA88" s="319"/>
      <c r="AB88" s="319"/>
      <c r="AC88" s="319"/>
      <c r="AD88" s="405"/>
      <c r="AE88" s="406"/>
      <c r="AF88" s="319"/>
    </row>
    <row r="89" spans="1:32" x14ac:dyDescent="0.25">
      <c r="A89" s="258"/>
      <c r="B89" s="319"/>
      <c r="C89" s="319"/>
      <c r="D89" s="319"/>
      <c r="E89" s="319"/>
      <c r="F89" s="320"/>
      <c r="G89" s="319"/>
      <c r="H89" s="411"/>
      <c r="I89" s="319"/>
      <c r="J89" s="407"/>
      <c r="K89" s="408"/>
      <c r="L89" s="409"/>
      <c r="M89" s="410"/>
      <c r="N89" s="319"/>
      <c r="O89" s="319"/>
      <c r="P89" s="319"/>
      <c r="Q89" s="319"/>
      <c r="R89" s="319"/>
      <c r="S89" s="319"/>
      <c r="T89" s="319"/>
      <c r="U89" s="319"/>
      <c r="V89" s="319"/>
      <c r="W89" s="319"/>
      <c r="X89" s="319"/>
      <c r="Y89" s="319"/>
      <c r="Z89" s="319"/>
      <c r="AA89" s="319"/>
      <c r="AB89" s="319"/>
      <c r="AC89" s="319"/>
      <c r="AD89" s="405"/>
      <c r="AE89" s="406"/>
      <c r="AF89" s="319"/>
    </row>
    <row r="90" spans="1:32" x14ac:dyDescent="0.25">
      <c r="A90" s="258"/>
      <c r="B90" s="319"/>
      <c r="C90" s="319"/>
      <c r="D90" s="319"/>
      <c r="E90" s="319"/>
      <c r="F90" s="320"/>
      <c r="G90" s="402"/>
      <c r="H90" s="411"/>
      <c r="I90" s="319"/>
      <c r="J90" s="319"/>
      <c r="K90" s="408"/>
      <c r="L90" s="409"/>
      <c r="M90" s="410"/>
      <c r="N90" s="319"/>
      <c r="O90" s="319"/>
      <c r="P90" s="319"/>
      <c r="Q90" s="319"/>
      <c r="R90" s="319"/>
      <c r="S90" s="319"/>
      <c r="T90" s="319"/>
      <c r="U90" s="319"/>
      <c r="V90" s="319"/>
      <c r="W90" s="319"/>
      <c r="X90" s="319"/>
      <c r="Y90" s="319"/>
      <c r="Z90" s="319"/>
      <c r="AA90" s="319"/>
      <c r="AB90" s="319"/>
      <c r="AC90" s="319"/>
      <c r="AD90" s="405"/>
      <c r="AE90" s="406"/>
      <c r="AF90" s="319"/>
    </row>
    <row r="91" spans="1:32" x14ac:dyDescent="0.25">
      <c r="A91" s="258"/>
      <c r="B91" s="319"/>
      <c r="C91" s="319"/>
      <c r="D91" s="319"/>
      <c r="E91" s="319"/>
      <c r="F91" s="320"/>
      <c r="G91" s="421"/>
      <c r="H91" s="411"/>
      <c r="I91" s="319"/>
      <c r="J91" s="319"/>
      <c r="K91" s="319"/>
      <c r="L91" s="319"/>
      <c r="M91" s="410"/>
      <c r="N91" s="319"/>
      <c r="O91" s="319"/>
      <c r="P91" s="319"/>
      <c r="Q91" s="319"/>
      <c r="R91" s="319"/>
      <c r="S91" s="319"/>
      <c r="T91" s="319"/>
      <c r="U91" s="319"/>
      <c r="V91" s="319"/>
      <c r="W91" s="319"/>
      <c r="X91" s="319"/>
      <c r="Y91" s="319"/>
      <c r="Z91" s="319"/>
      <c r="AA91" s="319"/>
      <c r="AB91" s="319"/>
      <c r="AC91" s="319"/>
      <c r="AD91" s="319"/>
      <c r="AE91" s="319"/>
      <c r="AF91" s="319"/>
    </row>
    <row r="92" spans="1:32" x14ac:dyDescent="0.25">
      <c r="A92" s="258"/>
      <c r="B92" s="319"/>
      <c r="C92" s="319"/>
      <c r="D92" s="319"/>
      <c r="E92" s="319"/>
      <c r="F92" s="320"/>
      <c r="G92" s="402"/>
      <c r="H92" s="411"/>
      <c r="I92" s="319"/>
      <c r="J92" s="319"/>
      <c r="K92" s="319"/>
      <c r="L92" s="319"/>
      <c r="M92" s="410"/>
      <c r="N92" s="319"/>
      <c r="O92" s="319"/>
      <c r="P92" s="319"/>
      <c r="Q92" s="319"/>
      <c r="R92" s="319"/>
      <c r="S92" s="319"/>
      <c r="T92" s="319"/>
      <c r="U92" s="319"/>
      <c r="V92" s="319"/>
      <c r="W92" s="319"/>
      <c r="X92" s="319"/>
      <c r="Y92" s="319"/>
      <c r="Z92" s="319"/>
      <c r="AA92" s="319"/>
      <c r="AB92" s="319"/>
      <c r="AC92" s="319"/>
      <c r="AD92" s="319"/>
      <c r="AE92" s="319"/>
      <c r="AF92" s="319"/>
    </row>
    <row r="93" spans="1:32" x14ac:dyDescent="0.25">
      <c r="A93" s="258"/>
      <c r="B93" s="319"/>
      <c r="C93" s="319"/>
      <c r="D93" s="319"/>
      <c r="E93" s="319"/>
      <c r="F93" s="320"/>
      <c r="G93" s="411"/>
      <c r="H93" s="411"/>
      <c r="I93" s="319"/>
      <c r="J93" s="319"/>
      <c r="K93" s="319"/>
      <c r="L93" s="319"/>
      <c r="M93" s="410"/>
      <c r="N93" s="319"/>
      <c r="O93" s="319"/>
      <c r="P93" s="319"/>
      <c r="Q93" s="319"/>
      <c r="R93" s="319"/>
      <c r="S93" s="319"/>
      <c r="T93" s="319"/>
      <c r="U93" s="319"/>
      <c r="V93" s="319"/>
      <c r="W93" s="319"/>
      <c r="X93" s="319"/>
      <c r="Y93" s="319"/>
      <c r="Z93" s="319"/>
      <c r="AA93" s="319"/>
      <c r="AB93" s="319"/>
      <c r="AC93" s="319"/>
      <c r="AD93" s="319"/>
      <c r="AE93" s="319"/>
      <c r="AF93" s="319"/>
    </row>
    <row r="94" spans="1:32" x14ac:dyDescent="0.25">
      <c r="A94" s="258"/>
      <c r="B94" s="319"/>
      <c r="C94" s="319"/>
      <c r="D94" s="319"/>
      <c r="E94" s="319"/>
      <c r="F94" s="320"/>
      <c r="G94" s="408"/>
      <c r="H94" s="411"/>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row>
    <row r="95" spans="1:32" x14ac:dyDescent="0.25">
      <c r="A95" s="258"/>
      <c r="B95" s="319"/>
      <c r="C95" s="319"/>
      <c r="D95" s="319"/>
      <c r="E95" s="319"/>
      <c r="F95" s="320"/>
      <c r="G95" s="408"/>
      <c r="H95" s="411"/>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row>
    <row r="96" spans="1:32" s="272" customFormat="1" x14ac:dyDescent="0.25">
      <c r="A96" s="258"/>
      <c r="B96" s="319"/>
      <c r="C96" s="319"/>
      <c r="D96" s="319"/>
      <c r="E96" s="319"/>
      <c r="F96" s="320"/>
      <c r="G96" s="408"/>
      <c r="H96" s="411"/>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row>
    <row r="97" spans="1:32" ht="21" x14ac:dyDescent="0.35">
      <c r="A97" s="258"/>
      <c r="B97" s="403"/>
      <c r="C97" s="319"/>
      <c r="D97" s="515"/>
      <c r="E97" s="515"/>
      <c r="F97" s="515"/>
      <c r="G97" s="412"/>
      <c r="H97" s="413"/>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row>
    <row r="98" spans="1:32" ht="21" x14ac:dyDescent="0.35">
      <c r="A98" s="258"/>
      <c r="B98" s="403"/>
      <c r="C98" s="319"/>
      <c r="D98" s="400"/>
      <c r="E98" s="400"/>
      <c r="F98" s="400"/>
      <c r="G98" s="400"/>
      <c r="H98" s="400"/>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row>
    <row r="99" spans="1:32" ht="21" x14ac:dyDescent="0.35">
      <c r="A99" s="258"/>
      <c r="B99" s="403"/>
      <c r="C99" s="319"/>
      <c r="D99" s="400"/>
      <c r="E99" s="400"/>
      <c r="F99" s="401"/>
      <c r="G99" s="414"/>
      <c r="H99" s="415"/>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row>
    <row r="100" spans="1:32" ht="21" x14ac:dyDescent="0.35">
      <c r="A100" s="258"/>
      <c r="B100" s="403"/>
      <c r="C100" s="319"/>
      <c r="D100" s="400"/>
      <c r="E100" s="400"/>
      <c r="F100" s="400"/>
      <c r="G100" s="400"/>
      <c r="H100" s="400"/>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row>
    <row r="101" spans="1:32" x14ac:dyDescent="0.25">
      <c r="A101" s="258"/>
      <c r="B101" s="319"/>
      <c r="C101" s="319"/>
      <c r="D101" s="319"/>
      <c r="E101" s="319"/>
      <c r="F101" s="401"/>
      <c r="G101" s="416"/>
      <c r="H101" s="415"/>
      <c r="I101" s="319"/>
      <c r="J101" s="407"/>
      <c r="K101" s="408"/>
      <c r="L101" s="409"/>
      <c r="M101" s="319"/>
      <c r="N101" s="319"/>
      <c r="O101" s="319"/>
      <c r="P101" s="319"/>
      <c r="Q101" s="319"/>
      <c r="R101" s="319"/>
      <c r="S101" s="319"/>
      <c r="T101" s="319"/>
      <c r="U101" s="319"/>
      <c r="V101" s="319"/>
      <c r="W101" s="319"/>
      <c r="X101" s="319"/>
      <c r="Y101" s="319"/>
      <c r="Z101" s="319"/>
      <c r="AA101" s="319"/>
      <c r="AB101" s="319"/>
      <c r="AC101" s="319"/>
      <c r="AD101" s="319"/>
      <c r="AE101" s="319"/>
      <c r="AF101" s="319"/>
    </row>
    <row r="102" spans="1:32" x14ac:dyDescent="0.25">
      <c r="A102" s="258"/>
      <c r="B102" s="319"/>
      <c r="C102" s="319"/>
      <c r="D102" s="319"/>
      <c r="E102" s="319"/>
      <c r="F102" s="319"/>
      <c r="G102" s="319"/>
      <c r="H102" s="417"/>
      <c r="I102" s="319"/>
      <c r="J102" s="407"/>
      <c r="K102" s="408"/>
      <c r="L102" s="409"/>
      <c r="M102" s="319"/>
      <c r="N102" s="319"/>
      <c r="O102" s="319"/>
      <c r="P102" s="319"/>
      <c r="Q102" s="319"/>
      <c r="R102" s="319"/>
      <c r="S102" s="319"/>
      <c r="T102" s="319"/>
      <c r="U102" s="319"/>
      <c r="V102" s="319"/>
      <c r="W102" s="319"/>
      <c r="X102" s="319"/>
      <c r="Y102" s="319"/>
      <c r="Z102" s="319"/>
      <c r="AA102" s="319"/>
      <c r="AB102" s="319"/>
      <c r="AC102" s="319"/>
      <c r="AD102" s="405"/>
      <c r="AE102" s="406"/>
      <c r="AF102" s="319"/>
    </row>
    <row r="103" spans="1:32" x14ac:dyDescent="0.25">
      <c r="A103" s="258"/>
      <c r="B103" s="319"/>
      <c r="C103" s="418"/>
      <c r="D103" s="319"/>
      <c r="E103" s="319"/>
      <c r="F103" s="401"/>
      <c r="G103" s="416"/>
      <c r="H103" s="415"/>
      <c r="I103" s="319"/>
      <c r="J103" s="407"/>
      <c r="K103" s="408"/>
      <c r="L103" s="409"/>
      <c r="M103" s="319"/>
      <c r="N103" s="319"/>
      <c r="O103" s="319"/>
      <c r="P103" s="319"/>
      <c r="Q103" s="319"/>
      <c r="R103" s="319"/>
      <c r="S103" s="319"/>
      <c r="T103" s="319"/>
      <c r="U103" s="319"/>
      <c r="V103" s="319"/>
      <c r="W103" s="319"/>
      <c r="X103" s="319"/>
      <c r="Y103" s="319"/>
      <c r="Z103" s="319"/>
      <c r="AA103" s="319"/>
      <c r="AB103" s="319"/>
      <c r="AC103" s="319"/>
      <c r="AD103" s="405"/>
      <c r="AE103" s="406"/>
      <c r="AF103" s="319"/>
    </row>
    <row r="104" spans="1:32" ht="18" customHeight="1" x14ac:dyDescent="0.25">
      <c r="A104" s="258"/>
      <c r="B104" s="319"/>
      <c r="C104" s="319"/>
      <c r="D104" s="319"/>
      <c r="E104" s="319"/>
      <c r="F104" s="319"/>
      <c r="G104" s="416"/>
      <c r="H104" s="415"/>
      <c r="I104" s="319"/>
      <c r="J104" s="407"/>
      <c r="K104" s="408"/>
      <c r="L104" s="409"/>
      <c r="M104" s="319"/>
      <c r="N104" s="319"/>
      <c r="O104" s="319"/>
      <c r="P104" s="319"/>
      <c r="Q104" s="319"/>
      <c r="R104" s="319"/>
      <c r="S104" s="319"/>
      <c r="T104" s="319"/>
      <c r="U104" s="319"/>
      <c r="V104" s="319"/>
      <c r="W104" s="319"/>
      <c r="X104" s="319"/>
      <c r="Y104" s="319"/>
      <c r="Z104" s="319"/>
      <c r="AA104" s="319"/>
      <c r="AB104" s="319"/>
      <c r="AC104" s="319"/>
      <c r="AD104" s="405"/>
      <c r="AE104" s="406"/>
      <c r="AF104" s="319"/>
    </row>
    <row r="105" spans="1:32" ht="18" customHeight="1" x14ac:dyDescent="0.25">
      <c r="A105" s="258"/>
      <c r="B105" s="319"/>
      <c r="C105" s="319"/>
      <c r="D105" s="319"/>
      <c r="E105" s="319"/>
      <c r="F105" s="401"/>
      <c r="G105" s="416"/>
      <c r="H105" s="415"/>
      <c r="I105" s="319"/>
      <c r="J105" s="407"/>
      <c r="K105" s="408"/>
      <c r="L105" s="409"/>
      <c r="M105" s="410"/>
      <c r="N105" s="319"/>
      <c r="O105" s="319"/>
      <c r="P105" s="319"/>
      <c r="Q105" s="319"/>
      <c r="R105" s="319"/>
      <c r="S105" s="319"/>
      <c r="T105" s="319"/>
      <c r="U105" s="319"/>
      <c r="V105" s="319"/>
      <c r="W105" s="319"/>
      <c r="X105" s="319"/>
      <c r="Y105" s="319"/>
      <c r="Z105" s="319"/>
      <c r="AA105" s="319"/>
      <c r="AB105" s="319"/>
      <c r="AC105" s="319"/>
      <c r="AD105" s="405"/>
      <c r="AE105" s="406"/>
      <c r="AF105" s="319"/>
    </row>
    <row r="106" spans="1:32" ht="18" customHeight="1" x14ac:dyDescent="0.25">
      <c r="A106" s="258"/>
      <c r="B106" s="319"/>
      <c r="C106" s="319"/>
      <c r="D106" s="319"/>
      <c r="E106" s="319"/>
      <c r="F106" s="319"/>
      <c r="G106" s="416"/>
      <c r="H106" s="415"/>
      <c r="I106" s="319"/>
      <c r="J106" s="407"/>
      <c r="K106" s="408"/>
      <c r="L106" s="409"/>
      <c r="M106" s="410"/>
      <c r="N106" s="319"/>
      <c r="O106" s="319"/>
      <c r="P106" s="319"/>
      <c r="Q106" s="319"/>
      <c r="R106" s="319"/>
      <c r="S106" s="319"/>
      <c r="T106" s="319"/>
      <c r="U106" s="319"/>
      <c r="V106" s="319"/>
      <c r="W106" s="319"/>
      <c r="X106" s="319"/>
      <c r="Y106" s="319"/>
      <c r="Z106" s="319"/>
      <c r="AA106" s="319"/>
      <c r="AB106" s="319"/>
      <c r="AC106" s="319"/>
      <c r="AD106" s="405"/>
      <c r="AE106" s="406"/>
      <c r="AF106" s="319"/>
    </row>
    <row r="107" spans="1:32" x14ac:dyDescent="0.25">
      <c r="A107" s="258"/>
      <c r="B107" s="319"/>
      <c r="C107" s="319"/>
      <c r="D107" s="319"/>
      <c r="E107" s="71"/>
      <c r="F107" s="401"/>
      <c r="G107" s="416"/>
      <c r="H107" s="415"/>
      <c r="I107" s="319"/>
      <c r="J107" s="407"/>
      <c r="K107" s="408"/>
      <c r="L107" s="409"/>
      <c r="M107" s="410"/>
      <c r="N107" s="319"/>
      <c r="O107" s="319"/>
      <c r="P107" s="319"/>
      <c r="Q107" s="319"/>
      <c r="R107" s="319"/>
      <c r="S107" s="319"/>
      <c r="T107" s="319"/>
      <c r="U107" s="319"/>
      <c r="V107" s="319"/>
      <c r="W107" s="319"/>
      <c r="X107" s="319"/>
      <c r="Y107" s="319"/>
      <c r="Z107" s="319"/>
      <c r="AA107" s="319"/>
      <c r="AB107" s="319"/>
      <c r="AC107" s="319"/>
      <c r="AD107" s="405"/>
      <c r="AE107" s="406"/>
      <c r="AF107" s="319"/>
    </row>
    <row r="108" spans="1:32" x14ac:dyDescent="0.25">
      <c r="A108" s="258"/>
      <c r="B108" s="319"/>
      <c r="C108" s="319"/>
      <c r="D108" s="319"/>
      <c r="E108" s="319"/>
      <c r="F108" s="319"/>
      <c r="G108" s="319"/>
      <c r="H108" s="319"/>
      <c r="I108" s="319"/>
      <c r="J108" s="407"/>
      <c r="K108" s="408"/>
      <c r="L108" s="409"/>
      <c r="M108" s="410"/>
      <c r="N108" s="319"/>
      <c r="O108" s="319"/>
      <c r="P108" s="319"/>
      <c r="Q108" s="319"/>
      <c r="R108" s="319"/>
      <c r="S108" s="319"/>
      <c r="T108" s="319"/>
      <c r="U108" s="319"/>
      <c r="V108" s="319"/>
      <c r="W108" s="319"/>
      <c r="X108" s="319"/>
      <c r="Y108" s="319"/>
      <c r="Z108" s="319"/>
      <c r="AA108" s="319"/>
      <c r="AB108" s="319"/>
      <c r="AC108" s="319"/>
      <c r="AD108" s="405"/>
      <c r="AE108" s="406"/>
      <c r="AF108" s="319"/>
    </row>
    <row r="109" spans="1:32" x14ac:dyDescent="0.25">
      <c r="A109" s="258"/>
      <c r="B109" s="319"/>
      <c r="C109" s="419"/>
      <c r="D109" s="319"/>
      <c r="E109" s="319"/>
      <c r="F109" s="401"/>
      <c r="G109" s="420"/>
      <c r="H109" s="411"/>
      <c r="I109" s="319"/>
      <c r="J109" s="407"/>
      <c r="K109" s="408"/>
      <c r="L109" s="409"/>
      <c r="M109" s="410"/>
      <c r="N109" s="319"/>
      <c r="O109" s="319"/>
      <c r="P109" s="319"/>
      <c r="Q109" s="319"/>
      <c r="R109" s="319"/>
      <c r="S109" s="319"/>
      <c r="T109" s="319"/>
      <c r="U109" s="319"/>
      <c r="V109" s="319"/>
      <c r="W109" s="319"/>
      <c r="X109" s="319"/>
      <c r="Y109" s="319"/>
      <c r="Z109" s="319"/>
      <c r="AA109" s="319"/>
      <c r="AB109" s="319"/>
      <c r="AC109" s="319"/>
      <c r="AD109" s="405"/>
      <c r="AE109" s="406"/>
      <c r="AF109" s="319"/>
    </row>
    <row r="110" spans="1:32" x14ac:dyDescent="0.25">
      <c r="A110" s="258"/>
      <c r="B110" s="319"/>
      <c r="C110" s="319"/>
      <c r="D110" s="319"/>
      <c r="E110" s="319"/>
      <c r="F110" s="320"/>
      <c r="G110" s="416"/>
      <c r="H110" s="319"/>
      <c r="I110" s="319"/>
      <c r="J110" s="407"/>
      <c r="K110" s="408"/>
      <c r="L110" s="409"/>
      <c r="M110" s="410"/>
      <c r="N110" s="319"/>
      <c r="O110" s="319"/>
      <c r="P110" s="319"/>
      <c r="Q110" s="319"/>
      <c r="R110" s="319"/>
      <c r="S110" s="319"/>
      <c r="T110" s="319"/>
      <c r="U110" s="319"/>
      <c r="V110" s="319"/>
      <c r="W110" s="319"/>
      <c r="X110" s="319"/>
      <c r="Y110" s="319"/>
      <c r="Z110" s="319"/>
      <c r="AA110" s="319"/>
      <c r="AB110" s="319"/>
      <c r="AC110" s="319"/>
      <c r="AD110" s="405"/>
      <c r="AE110" s="406"/>
      <c r="AF110" s="319"/>
    </row>
    <row r="111" spans="1:32" x14ac:dyDescent="0.25">
      <c r="A111" s="258"/>
      <c r="B111" s="319"/>
      <c r="C111" s="319"/>
      <c r="D111" s="319"/>
      <c r="E111" s="319"/>
      <c r="F111" s="320"/>
      <c r="G111" s="319"/>
      <c r="H111" s="411"/>
      <c r="I111" s="319"/>
      <c r="J111" s="319"/>
      <c r="K111" s="408"/>
      <c r="L111" s="409"/>
      <c r="M111" s="410"/>
      <c r="N111" s="319"/>
      <c r="O111" s="319"/>
      <c r="P111" s="319"/>
      <c r="Q111" s="319"/>
      <c r="R111" s="319"/>
      <c r="S111" s="319"/>
      <c r="T111" s="319"/>
      <c r="U111" s="319"/>
      <c r="V111" s="319"/>
      <c r="W111" s="319"/>
      <c r="X111" s="319"/>
      <c r="Y111" s="319"/>
      <c r="Z111" s="319"/>
      <c r="AA111" s="319"/>
      <c r="AB111" s="319"/>
      <c r="AC111" s="319"/>
      <c r="AD111" s="405"/>
      <c r="AE111" s="406"/>
      <c r="AF111" s="319"/>
    </row>
    <row r="112" spans="1:32" x14ac:dyDescent="0.25">
      <c r="A112" s="258"/>
      <c r="B112" s="319"/>
      <c r="C112" s="319"/>
      <c r="D112" s="319"/>
      <c r="E112" s="319"/>
      <c r="F112" s="320"/>
      <c r="G112" s="402"/>
      <c r="H112" s="411"/>
      <c r="I112" s="319"/>
      <c r="J112" s="319"/>
      <c r="K112" s="319"/>
      <c r="L112" s="319"/>
      <c r="M112" s="410"/>
      <c r="N112" s="319"/>
      <c r="O112" s="319"/>
      <c r="P112" s="319"/>
      <c r="Q112" s="319"/>
      <c r="R112" s="319"/>
      <c r="S112" s="319"/>
      <c r="T112" s="319"/>
      <c r="U112" s="319"/>
      <c r="V112" s="319"/>
      <c r="W112" s="319"/>
      <c r="X112" s="319"/>
      <c r="Y112" s="319"/>
      <c r="Z112" s="319"/>
      <c r="AA112" s="319"/>
      <c r="AB112" s="319"/>
      <c r="AC112" s="319"/>
      <c r="AD112" s="405"/>
      <c r="AE112" s="406"/>
      <c r="AF112" s="319"/>
    </row>
    <row r="113" spans="1:32" x14ac:dyDescent="0.25">
      <c r="A113" s="258"/>
      <c r="B113" s="319"/>
      <c r="C113" s="319"/>
      <c r="D113" s="319"/>
      <c r="E113" s="319"/>
      <c r="F113" s="320"/>
      <c r="G113" s="421"/>
      <c r="H113" s="411"/>
      <c r="I113" s="319"/>
      <c r="J113" s="319"/>
      <c r="K113" s="319"/>
      <c r="L113" s="319"/>
      <c r="M113" s="410"/>
      <c r="N113" s="319"/>
      <c r="O113" s="319"/>
      <c r="P113" s="319"/>
      <c r="Q113" s="319"/>
      <c r="R113" s="319"/>
      <c r="S113" s="319"/>
      <c r="T113" s="319"/>
      <c r="U113" s="319"/>
      <c r="V113" s="319"/>
      <c r="W113" s="319"/>
      <c r="X113" s="319"/>
      <c r="Y113" s="319"/>
      <c r="Z113" s="319"/>
      <c r="AA113" s="319"/>
      <c r="AB113" s="319"/>
      <c r="AC113" s="319"/>
      <c r="AD113" s="319"/>
      <c r="AE113" s="319"/>
      <c r="AF113" s="319"/>
    </row>
    <row r="114" spans="1:32" x14ac:dyDescent="0.25">
      <c r="A114" s="258"/>
      <c r="B114" s="319"/>
      <c r="C114" s="319"/>
      <c r="D114" s="319"/>
      <c r="E114" s="319"/>
      <c r="F114" s="320"/>
      <c r="G114" s="402"/>
      <c r="H114" s="411"/>
      <c r="I114" s="319"/>
      <c r="J114" s="319"/>
      <c r="K114" s="319"/>
      <c r="L114" s="319"/>
      <c r="M114" s="410"/>
      <c r="N114" s="319"/>
      <c r="O114" s="319"/>
      <c r="P114" s="319"/>
      <c r="Q114" s="319"/>
      <c r="R114" s="319"/>
      <c r="S114" s="319"/>
      <c r="T114" s="319"/>
      <c r="U114" s="319"/>
      <c r="V114" s="319"/>
      <c r="W114" s="319"/>
      <c r="X114" s="319"/>
      <c r="Y114" s="319"/>
      <c r="Z114" s="319"/>
      <c r="AA114" s="319"/>
      <c r="AB114" s="319"/>
      <c r="AC114" s="319"/>
      <c r="AD114" s="319"/>
      <c r="AE114" s="319"/>
      <c r="AF114" s="319"/>
    </row>
    <row r="115" spans="1:32" x14ac:dyDescent="0.25">
      <c r="A115" s="258"/>
      <c r="B115" s="319"/>
      <c r="C115" s="319"/>
      <c r="D115" s="319"/>
      <c r="E115" s="319"/>
      <c r="F115" s="320"/>
      <c r="G115" s="411"/>
      <c r="H115" s="411"/>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row>
    <row r="116" spans="1:32" x14ac:dyDescent="0.25">
      <c r="A116" s="258"/>
      <c r="B116" s="319"/>
      <c r="C116" s="319"/>
      <c r="D116" s="319"/>
      <c r="E116" s="319"/>
      <c r="F116" s="320"/>
      <c r="G116" s="408"/>
      <c r="H116" s="411"/>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row>
    <row r="117" spans="1:32" x14ac:dyDescent="0.25">
      <c r="A117" s="258"/>
      <c r="B117" s="319"/>
      <c r="C117" s="319"/>
      <c r="D117" s="319"/>
      <c r="E117" s="319"/>
      <c r="F117" s="320"/>
      <c r="G117" s="408"/>
      <c r="H117" s="411"/>
      <c r="I117" s="319"/>
      <c r="J117" s="319"/>
      <c r="K117" s="319"/>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row>
    <row r="118" spans="1:32" s="272" customFormat="1" x14ac:dyDescent="0.25">
      <c r="A118" s="258"/>
      <c r="B118" s="319"/>
      <c r="C118" s="319"/>
      <c r="D118" s="319"/>
      <c r="E118" s="319"/>
      <c r="F118" s="320"/>
      <c r="G118" s="408"/>
      <c r="H118" s="411"/>
      <c r="I118" s="319"/>
      <c r="J118" s="319"/>
      <c r="K118" s="319"/>
      <c r="L118" s="319"/>
      <c r="M118" s="319"/>
      <c r="N118" s="319"/>
      <c r="O118" s="319"/>
      <c r="P118" s="319"/>
      <c r="Q118" s="319"/>
      <c r="R118" s="319"/>
      <c r="S118" s="319"/>
      <c r="T118" s="319"/>
      <c r="U118" s="319"/>
      <c r="V118" s="319"/>
      <c r="W118" s="319"/>
      <c r="X118" s="319"/>
      <c r="Y118" s="319"/>
      <c r="Z118" s="319"/>
      <c r="AA118" s="319"/>
      <c r="AB118" s="319"/>
      <c r="AC118" s="319"/>
      <c r="AD118" s="319"/>
      <c r="AE118" s="319"/>
      <c r="AF118" s="319"/>
    </row>
    <row r="119" spans="1:32" ht="21" x14ac:dyDescent="0.35">
      <c r="A119" s="258"/>
      <c r="B119" s="403"/>
      <c r="C119" s="319"/>
      <c r="D119" s="515"/>
      <c r="E119" s="515"/>
      <c r="F119" s="515"/>
      <c r="G119" s="412"/>
      <c r="H119" s="413"/>
      <c r="I119" s="319"/>
      <c r="J119" s="319"/>
      <c r="K119" s="319"/>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row>
    <row r="120" spans="1:32" ht="21" x14ac:dyDescent="0.35">
      <c r="A120" s="258"/>
      <c r="B120" s="403"/>
      <c r="C120" s="319"/>
      <c r="D120" s="400"/>
      <c r="E120" s="400"/>
      <c r="F120" s="400"/>
      <c r="G120" s="400"/>
      <c r="H120" s="400"/>
      <c r="I120" s="319"/>
      <c r="J120" s="319"/>
      <c r="K120" s="319"/>
      <c r="L120" s="319"/>
      <c r="M120" s="319"/>
      <c r="N120" s="319"/>
      <c r="O120" s="319"/>
      <c r="P120" s="319"/>
      <c r="Q120" s="319"/>
      <c r="R120" s="319"/>
      <c r="S120" s="319"/>
      <c r="T120" s="319"/>
      <c r="U120" s="319"/>
      <c r="V120" s="319"/>
      <c r="W120" s="319"/>
      <c r="X120" s="319"/>
      <c r="Y120" s="319"/>
      <c r="Z120" s="319"/>
      <c r="AA120" s="319"/>
      <c r="AB120" s="319"/>
      <c r="AC120" s="319"/>
      <c r="AD120" s="319"/>
      <c r="AE120" s="319"/>
      <c r="AF120" s="319"/>
    </row>
    <row r="121" spans="1:32" ht="21" x14ac:dyDescent="0.35">
      <c r="A121" s="258"/>
      <c r="B121" s="403"/>
      <c r="C121" s="319"/>
      <c r="D121" s="400"/>
      <c r="E121" s="400"/>
      <c r="F121" s="401"/>
      <c r="G121" s="414"/>
      <c r="H121" s="415"/>
      <c r="I121" s="319"/>
      <c r="J121" s="319"/>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19"/>
    </row>
    <row r="122" spans="1:32" ht="21" x14ac:dyDescent="0.35">
      <c r="A122" s="258"/>
      <c r="B122" s="403"/>
      <c r="C122" s="319"/>
      <c r="D122" s="400"/>
      <c r="E122" s="400"/>
      <c r="F122" s="400"/>
      <c r="G122" s="400"/>
      <c r="H122" s="400"/>
      <c r="I122" s="319"/>
      <c r="J122" s="319"/>
      <c r="K122" s="319"/>
      <c r="L122" s="319"/>
      <c r="M122" s="319"/>
      <c r="N122" s="319"/>
      <c r="O122" s="319"/>
      <c r="P122" s="319"/>
      <c r="Q122" s="319"/>
      <c r="R122" s="319"/>
      <c r="S122" s="319"/>
      <c r="T122" s="319"/>
      <c r="U122" s="319"/>
      <c r="V122" s="319"/>
      <c r="W122" s="319"/>
      <c r="X122" s="319"/>
      <c r="Y122" s="319"/>
      <c r="Z122" s="319"/>
      <c r="AA122" s="319"/>
      <c r="AB122" s="319"/>
      <c r="AC122" s="319"/>
      <c r="AD122" s="319"/>
      <c r="AE122" s="319"/>
      <c r="AF122" s="319"/>
    </row>
    <row r="123" spans="1:32" x14ac:dyDescent="0.25">
      <c r="A123" s="258"/>
      <c r="B123" s="319"/>
      <c r="C123" s="319"/>
      <c r="D123" s="319"/>
      <c r="E123" s="319"/>
      <c r="F123" s="401"/>
      <c r="G123" s="416"/>
      <c r="H123" s="415"/>
      <c r="I123" s="319"/>
      <c r="J123" s="319"/>
      <c r="K123" s="319"/>
      <c r="L123" s="319"/>
      <c r="M123" s="319"/>
      <c r="N123" s="319"/>
      <c r="O123" s="319"/>
      <c r="P123" s="319"/>
      <c r="Q123" s="319"/>
      <c r="R123" s="319"/>
      <c r="S123" s="319"/>
      <c r="T123" s="319"/>
      <c r="U123" s="319"/>
      <c r="V123" s="319"/>
      <c r="W123" s="319"/>
      <c r="X123" s="319"/>
      <c r="Y123" s="319"/>
      <c r="Z123" s="319"/>
      <c r="AA123" s="319"/>
      <c r="AB123" s="319"/>
      <c r="AC123" s="319"/>
      <c r="AD123" s="319"/>
      <c r="AE123" s="319"/>
      <c r="AF123" s="319"/>
    </row>
    <row r="124" spans="1:32" x14ac:dyDescent="0.25">
      <c r="A124" s="258"/>
      <c r="B124" s="319"/>
      <c r="C124" s="319"/>
      <c r="D124" s="319"/>
      <c r="E124" s="319"/>
      <c r="F124" s="319"/>
      <c r="G124" s="319"/>
      <c r="H124" s="417"/>
      <c r="I124" s="319"/>
      <c r="J124" s="407"/>
      <c r="K124" s="408"/>
      <c r="L124" s="409"/>
      <c r="M124" s="319"/>
      <c r="N124" s="319"/>
      <c r="O124" s="319"/>
      <c r="P124" s="319"/>
      <c r="Q124" s="319"/>
      <c r="R124" s="319"/>
      <c r="S124" s="319"/>
      <c r="T124" s="319"/>
      <c r="U124" s="319"/>
      <c r="V124" s="319"/>
      <c r="W124" s="319"/>
      <c r="X124" s="319"/>
      <c r="Y124" s="319"/>
      <c r="Z124" s="319"/>
      <c r="AA124" s="319"/>
      <c r="AB124" s="319"/>
      <c r="AC124" s="319"/>
      <c r="AD124" s="405"/>
      <c r="AE124" s="406"/>
      <c r="AF124" s="319"/>
    </row>
    <row r="125" spans="1:32" x14ac:dyDescent="0.25">
      <c r="A125" s="258"/>
      <c r="B125" s="319"/>
      <c r="C125" s="418"/>
      <c r="D125" s="319"/>
      <c r="E125" s="319"/>
      <c r="F125" s="401"/>
      <c r="G125" s="416"/>
      <c r="H125" s="415"/>
      <c r="I125" s="319"/>
      <c r="J125" s="407"/>
      <c r="K125" s="408"/>
      <c r="L125" s="409"/>
      <c r="M125" s="319"/>
      <c r="N125" s="319"/>
      <c r="O125" s="319"/>
      <c r="P125" s="319"/>
      <c r="Q125" s="319"/>
      <c r="R125" s="319"/>
      <c r="S125" s="319"/>
      <c r="T125" s="319"/>
      <c r="U125" s="319"/>
      <c r="V125" s="319"/>
      <c r="W125" s="319"/>
      <c r="X125" s="319"/>
      <c r="Y125" s="319"/>
      <c r="Z125" s="319"/>
      <c r="AA125" s="319"/>
      <c r="AB125" s="319"/>
      <c r="AC125" s="319"/>
      <c r="AD125" s="405"/>
      <c r="AE125" s="406"/>
      <c r="AF125" s="319"/>
    </row>
    <row r="126" spans="1:32" x14ac:dyDescent="0.25">
      <c r="A126" s="258"/>
      <c r="B126" s="319"/>
      <c r="C126" s="319"/>
      <c r="D126" s="319"/>
      <c r="E126" s="319"/>
      <c r="F126" s="319"/>
      <c r="G126" s="416"/>
      <c r="H126" s="415"/>
      <c r="I126" s="319"/>
      <c r="J126" s="407"/>
      <c r="K126" s="408"/>
      <c r="L126" s="409"/>
      <c r="M126" s="319"/>
      <c r="N126" s="319"/>
      <c r="O126" s="319"/>
      <c r="P126" s="319"/>
      <c r="Q126" s="319"/>
      <c r="R126" s="319"/>
      <c r="S126" s="319"/>
      <c r="T126" s="319"/>
      <c r="U126" s="319"/>
      <c r="V126" s="319"/>
      <c r="W126" s="319"/>
      <c r="X126" s="319"/>
      <c r="Y126" s="319"/>
      <c r="Z126" s="319"/>
      <c r="AA126" s="319"/>
      <c r="AB126" s="319"/>
      <c r="AC126" s="319"/>
      <c r="AD126" s="405"/>
      <c r="AE126" s="406"/>
      <c r="AF126" s="319"/>
    </row>
    <row r="127" spans="1:32" x14ac:dyDescent="0.25">
      <c r="A127" s="258"/>
      <c r="B127" s="319"/>
      <c r="C127" s="319"/>
      <c r="D127" s="319"/>
      <c r="E127" s="319"/>
      <c r="F127" s="401"/>
      <c r="G127" s="416"/>
      <c r="H127" s="415"/>
      <c r="I127" s="319"/>
      <c r="J127" s="407"/>
      <c r="K127" s="408"/>
      <c r="L127" s="409"/>
      <c r="M127" s="319"/>
      <c r="N127" s="319"/>
      <c r="O127" s="319"/>
      <c r="P127" s="319"/>
      <c r="Q127" s="319"/>
      <c r="R127" s="319"/>
      <c r="S127" s="319"/>
      <c r="T127" s="319"/>
      <c r="U127" s="319"/>
      <c r="V127" s="319"/>
      <c r="W127" s="319"/>
      <c r="X127" s="319"/>
      <c r="Y127" s="319"/>
      <c r="Z127" s="319"/>
      <c r="AA127" s="319"/>
      <c r="AB127" s="319"/>
      <c r="AC127" s="319"/>
      <c r="AD127" s="405"/>
      <c r="AE127" s="406"/>
      <c r="AF127" s="319"/>
    </row>
    <row r="128" spans="1:32" ht="18" customHeight="1" x14ac:dyDescent="0.25">
      <c r="A128" s="258"/>
      <c r="B128" s="319"/>
      <c r="C128" s="319"/>
      <c r="D128" s="319"/>
      <c r="E128" s="319"/>
      <c r="F128" s="319"/>
      <c r="G128" s="416"/>
      <c r="H128" s="415"/>
      <c r="I128" s="319"/>
      <c r="J128" s="407"/>
      <c r="K128" s="408"/>
      <c r="L128" s="409"/>
      <c r="M128" s="319"/>
      <c r="N128" s="319"/>
      <c r="O128" s="319"/>
      <c r="P128" s="319"/>
      <c r="Q128" s="319"/>
      <c r="R128" s="319"/>
      <c r="S128" s="319"/>
      <c r="T128" s="319"/>
      <c r="U128" s="319"/>
      <c r="V128" s="319"/>
      <c r="W128" s="319"/>
      <c r="X128" s="319"/>
      <c r="Y128" s="319"/>
      <c r="Z128" s="319"/>
      <c r="AA128" s="319"/>
      <c r="AB128" s="319"/>
      <c r="AC128" s="319"/>
      <c r="AD128" s="405"/>
      <c r="AE128" s="406"/>
      <c r="AF128" s="319"/>
    </row>
    <row r="129" spans="1:32" ht="18" customHeight="1" x14ac:dyDescent="0.25">
      <c r="A129" s="258"/>
      <c r="B129" s="319"/>
      <c r="C129" s="319"/>
      <c r="D129" s="319"/>
      <c r="E129" s="71"/>
      <c r="F129" s="401"/>
      <c r="G129" s="416"/>
      <c r="H129" s="415"/>
      <c r="I129" s="319"/>
      <c r="J129" s="407"/>
      <c r="K129" s="408"/>
      <c r="L129" s="409"/>
      <c r="M129" s="319"/>
      <c r="N129" s="319"/>
      <c r="O129" s="319"/>
      <c r="P129" s="319"/>
      <c r="Q129" s="319"/>
      <c r="R129" s="319"/>
      <c r="S129" s="319"/>
      <c r="T129" s="319"/>
      <c r="U129" s="319"/>
      <c r="V129" s="319"/>
      <c r="W129" s="319"/>
      <c r="X129" s="319"/>
      <c r="Y129" s="319"/>
      <c r="Z129" s="319"/>
      <c r="AA129" s="319"/>
      <c r="AB129" s="319"/>
      <c r="AC129" s="319"/>
      <c r="AD129" s="405"/>
      <c r="AE129" s="406"/>
      <c r="AF129" s="319"/>
    </row>
    <row r="130" spans="1:32" ht="18" customHeight="1" x14ac:dyDescent="0.25">
      <c r="A130" s="258"/>
      <c r="B130" s="319"/>
      <c r="C130" s="319"/>
      <c r="D130" s="319"/>
      <c r="E130" s="319"/>
      <c r="F130" s="319"/>
      <c r="G130" s="319"/>
      <c r="H130" s="319"/>
      <c r="I130" s="319"/>
      <c r="J130" s="407"/>
      <c r="K130" s="408"/>
      <c r="L130" s="409"/>
      <c r="M130" s="319"/>
      <c r="N130" s="319"/>
      <c r="O130" s="319"/>
      <c r="P130" s="319"/>
      <c r="Q130" s="319"/>
      <c r="R130" s="319"/>
      <c r="S130" s="319"/>
      <c r="T130" s="319"/>
      <c r="U130" s="319"/>
      <c r="V130" s="319"/>
      <c r="W130" s="319"/>
      <c r="X130" s="319"/>
      <c r="Y130" s="319"/>
      <c r="Z130" s="319"/>
      <c r="AA130" s="319"/>
      <c r="AB130" s="319"/>
      <c r="AC130" s="319"/>
      <c r="AD130" s="405"/>
      <c r="AE130" s="406"/>
      <c r="AF130" s="319"/>
    </row>
    <row r="131" spans="1:32" x14ac:dyDescent="0.25">
      <c r="A131" s="258"/>
      <c r="B131" s="319"/>
      <c r="C131" s="419"/>
      <c r="D131" s="319"/>
      <c r="E131" s="319"/>
      <c r="F131" s="401"/>
      <c r="G131" s="420"/>
      <c r="H131" s="411"/>
      <c r="I131" s="319"/>
      <c r="J131" s="407"/>
      <c r="K131" s="408"/>
      <c r="L131" s="409"/>
      <c r="M131" s="319"/>
      <c r="N131" s="319"/>
      <c r="O131" s="319"/>
      <c r="P131" s="319"/>
      <c r="Q131" s="319"/>
      <c r="R131" s="319"/>
      <c r="S131" s="319"/>
      <c r="T131" s="319"/>
      <c r="U131" s="319"/>
      <c r="V131" s="319"/>
      <c r="W131" s="319"/>
      <c r="X131" s="319"/>
      <c r="Y131" s="319"/>
      <c r="Z131" s="319"/>
      <c r="AA131" s="319"/>
      <c r="AB131" s="319"/>
      <c r="AC131" s="319"/>
      <c r="AD131" s="405"/>
      <c r="AE131" s="406"/>
      <c r="AF131" s="319"/>
    </row>
    <row r="132" spans="1:32" x14ac:dyDescent="0.25">
      <c r="A132" s="258"/>
      <c r="B132" s="319"/>
      <c r="C132" s="319"/>
      <c r="D132" s="319"/>
      <c r="E132" s="319"/>
      <c r="F132" s="320"/>
      <c r="G132" s="416"/>
      <c r="H132" s="319"/>
      <c r="I132" s="319"/>
      <c r="J132" s="407"/>
      <c r="K132" s="408"/>
      <c r="L132" s="409"/>
      <c r="M132" s="319"/>
      <c r="N132" s="319"/>
      <c r="O132" s="319"/>
      <c r="P132" s="319"/>
      <c r="Q132" s="319"/>
      <c r="R132" s="319"/>
      <c r="S132" s="319"/>
      <c r="T132" s="319"/>
      <c r="U132" s="319"/>
      <c r="V132" s="319"/>
      <c r="W132" s="319"/>
      <c r="X132" s="319"/>
      <c r="Y132" s="319"/>
      <c r="Z132" s="319"/>
      <c r="AA132" s="319"/>
      <c r="AB132" s="319"/>
      <c r="AC132" s="319"/>
      <c r="AD132" s="405"/>
      <c r="AE132" s="406"/>
      <c r="AF132" s="319"/>
    </row>
    <row r="133" spans="1:32" x14ac:dyDescent="0.25">
      <c r="A133" s="258"/>
      <c r="B133" s="319"/>
      <c r="C133" s="319"/>
      <c r="D133" s="319"/>
      <c r="E133" s="319"/>
      <c r="F133" s="320"/>
      <c r="G133" s="319"/>
      <c r="H133" s="411"/>
      <c r="I133" s="319"/>
      <c r="J133" s="407"/>
      <c r="K133" s="408"/>
      <c r="L133" s="409"/>
      <c r="M133" s="319"/>
      <c r="N133" s="319"/>
      <c r="O133" s="319"/>
      <c r="P133" s="319"/>
      <c r="Q133" s="319"/>
      <c r="R133" s="319"/>
      <c r="S133" s="319"/>
      <c r="T133" s="319"/>
      <c r="U133" s="319"/>
      <c r="V133" s="319"/>
      <c r="W133" s="319"/>
      <c r="X133" s="319"/>
      <c r="Y133" s="319"/>
      <c r="Z133" s="319"/>
      <c r="AA133" s="319"/>
      <c r="AB133" s="319"/>
      <c r="AC133" s="319"/>
      <c r="AD133" s="405"/>
      <c r="AE133" s="406"/>
      <c r="AF133" s="319"/>
    </row>
    <row r="134" spans="1:32" x14ac:dyDescent="0.25">
      <c r="A134" s="258"/>
      <c r="B134" s="319"/>
      <c r="C134" s="319"/>
      <c r="D134" s="319"/>
      <c r="E134" s="319"/>
      <c r="F134" s="320"/>
      <c r="G134" s="402"/>
      <c r="H134" s="411"/>
      <c r="I134" s="319"/>
      <c r="J134" s="319"/>
      <c r="K134" s="408"/>
      <c r="L134" s="409"/>
      <c r="M134" s="319"/>
      <c r="N134" s="319"/>
      <c r="O134" s="319"/>
      <c r="P134" s="319"/>
      <c r="Q134" s="319"/>
      <c r="R134" s="319"/>
      <c r="S134" s="319"/>
      <c r="T134" s="319"/>
      <c r="U134" s="319"/>
      <c r="V134" s="319"/>
      <c r="W134" s="319"/>
      <c r="X134" s="319"/>
      <c r="Y134" s="319"/>
      <c r="Z134" s="319"/>
      <c r="AA134" s="319"/>
      <c r="AB134" s="319"/>
      <c r="AC134" s="319"/>
      <c r="AD134" s="405"/>
      <c r="AE134" s="406"/>
      <c r="AF134" s="319"/>
    </row>
    <row r="135" spans="1:32" x14ac:dyDescent="0.25">
      <c r="A135" s="258"/>
      <c r="B135" s="319"/>
      <c r="C135" s="319"/>
      <c r="D135" s="319"/>
      <c r="E135" s="319"/>
      <c r="F135" s="320"/>
      <c r="G135" s="421"/>
      <c r="H135" s="411"/>
      <c r="I135" s="319"/>
      <c r="J135" s="319"/>
      <c r="K135" s="319"/>
      <c r="L135" s="319"/>
      <c r="M135" s="319"/>
      <c r="N135" s="319"/>
      <c r="O135" s="319"/>
      <c r="P135" s="319"/>
      <c r="Q135" s="319"/>
      <c r="R135" s="319"/>
      <c r="S135" s="319"/>
      <c r="T135" s="319"/>
      <c r="U135" s="319"/>
      <c r="V135" s="319"/>
      <c r="W135" s="319"/>
      <c r="X135" s="319"/>
      <c r="Y135" s="319"/>
      <c r="Z135" s="319"/>
      <c r="AA135" s="319"/>
      <c r="AB135" s="319"/>
      <c r="AC135" s="319"/>
      <c r="AD135" s="319"/>
      <c r="AE135" s="319"/>
      <c r="AF135" s="319"/>
    </row>
    <row r="136" spans="1:32" x14ac:dyDescent="0.25">
      <c r="A136" s="258"/>
      <c r="B136" s="319"/>
      <c r="C136" s="319"/>
      <c r="D136" s="319"/>
      <c r="E136" s="319"/>
      <c r="F136" s="320"/>
      <c r="G136" s="402"/>
      <c r="H136" s="411"/>
      <c r="I136" s="319"/>
      <c r="J136" s="319"/>
      <c r="K136" s="319"/>
      <c r="L136" s="319"/>
      <c r="M136" s="319"/>
      <c r="N136" s="319"/>
      <c r="O136" s="319"/>
      <c r="P136" s="319"/>
      <c r="Q136" s="319"/>
      <c r="R136" s="319"/>
      <c r="S136" s="319"/>
      <c r="T136" s="319"/>
      <c r="U136" s="319"/>
      <c r="V136" s="319"/>
      <c r="W136" s="319"/>
      <c r="X136" s="319"/>
      <c r="Y136" s="319"/>
      <c r="Z136" s="319"/>
      <c r="AA136" s="319"/>
      <c r="AB136" s="319"/>
      <c r="AC136" s="319"/>
      <c r="AD136" s="319"/>
      <c r="AE136" s="319"/>
      <c r="AF136" s="319"/>
    </row>
    <row r="137" spans="1:32" x14ac:dyDescent="0.25">
      <c r="A137" s="258"/>
      <c r="B137" s="319"/>
      <c r="C137" s="319"/>
      <c r="D137" s="319"/>
      <c r="E137" s="319"/>
      <c r="F137" s="320"/>
      <c r="G137" s="411"/>
      <c r="H137" s="411"/>
      <c r="I137" s="319"/>
      <c r="J137" s="319"/>
      <c r="K137" s="319"/>
      <c r="L137" s="319"/>
      <c r="M137" s="319"/>
      <c r="N137" s="319"/>
      <c r="O137" s="319"/>
      <c r="P137" s="319"/>
      <c r="Q137" s="319"/>
      <c r="R137" s="319"/>
      <c r="S137" s="319"/>
      <c r="T137" s="319"/>
      <c r="U137" s="319"/>
      <c r="V137" s="319"/>
      <c r="W137" s="319"/>
      <c r="X137" s="319"/>
      <c r="Y137" s="319"/>
      <c r="Z137" s="319"/>
      <c r="AA137" s="319"/>
      <c r="AB137" s="319"/>
      <c r="AC137" s="319"/>
      <c r="AD137" s="319"/>
      <c r="AE137" s="319"/>
      <c r="AF137" s="319"/>
    </row>
    <row r="138" spans="1:32" x14ac:dyDescent="0.25">
      <c r="A138" s="258"/>
      <c r="B138" s="319"/>
      <c r="C138" s="319"/>
      <c r="D138" s="319"/>
      <c r="E138" s="319"/>
      <c r="F138" s="320"/>
      <c r="G138" s="408"/>
      <c r="H138" s="411"/>
      <c r="I138" s="319"/>
      <c r="J138" s="319"/>
      <c r="K138" s="319"/>
      <c r="L138" s="319"/>
      <c r="M138" s="319"/>
      <c r="N138" s="319"/>
      <c r="O138" s="319"/>
      <c r="P138" s="319"/>
      <c r="Q138" s="319"/>
      <c r="R138" s="319"/>
      <c r="S138" s="319"/>
      <c r="T138" s="319"/>
      <c r="U138" s="319"/>
      <c r="V138" s="319"/>
      <c r="W138" s="319"/>
      <c r="X138" s="319"/>
      <c r="Y138" s="319"/>
      <c r="Z138" s="319"/>
      <c r="AA138" s="319"/>
      <c r="AB138" s="319"/>
      <c r="AC138" s="319"/>
      <c r="AD138" s="319"/>
      <c r="AE138" s="319"/>
      <c r="AF138" s="319"/>
    </row>
    <row r="139" spans="1:32" x14ac:dyDescent="0.25">
      <c r="A139" s="258"/>
      <c r="B139" s="319"/>
      <c r="C139" s="319"/>
      <c r="D139" s="319"/>
      <c r="E139" s="319"/>
      <c r="F139" s="320"/>
      <c r="G139" s="408"/>
      <c r="H139" s="411"/>
      <c r="I139" s="319"/>
      <c r="J139" s="319"/>
      <c r="K139" s="319"/>
      <c r="L139" s="319"/>
      <c r="M139" s="319"/>
      <c r="N139" s="319"/>
      <c r="O139" s="319"/>
      <c r="P139" s="319"/>
      <c r="Q139" s="319"/>
      <c r="R139" s="319"/>
      <c r="S139" s="319"/>
      <c r="T139" s="319"/>
      <c r="U139" s="319"/>
      <c r="V139" s="319"/>
      <c r="W139" s="319"/>
      <c r="X139" s="319"/>
      <c r="Y139" s="319"/>
      <c r="Z139" s="319"/>
      <c r="AA139" s="319"/>
      <c r="AB139" s="319"/>
      <c r="AC139" s="319"/>
      <c r="AD139" s="319"/>
      <c r="AE139" s="319"/>
      <c r="AF139" s="319"/>
    </row>
    <row r="140" spans="1:32" s="272" customFormat="1" x14ac:dyDescent="0.25">
      <c r="A140" s="258"/>
      <c r="B140" s="319"/>
      <c r="C140" s="319"/>
      <c r="D140" s="319"/>
      <c r="E140" s="319"/>
      <c r="F140" s="320"/>
      <c r="G140" s="408"/>
      <c r="H140" s="411"/>
      <c r="I140" s="319"/>
      <c r="J140" s="319"/>
      <c r="K140" s="319"/>
      <c r="L140" s="319"/>
      <c r="M140" s="319"/>
      <c r="N140" s="319"/>
      <c r="O140" s="319"/>
      <c r="P140" s="319"/>
      <c r="Q140" s="319"/>
      <c r="R140" s="319"/>
      <c r="S140" s="319"/>
      <c r="T140" s="319"/>
      <c r="U140" s="319"/>
      <c r="V140" s="319"/>
      <c r="W140" s="319"/>
      <c r="X140" s="319"/>
      <c r="Y140" s="319"/>
      <c r="Z140" s="319"/>
      <c r="AA140" s="319"/>
      <c r="AB140" s="319"/>
      <c r="AC140" s="319"/>
      <c r="AD140" s="319"/>
      <c r="AE140" s="319"/>
      <c r="AF140" s="319"/>
    </row>
    <row r="141" spans="1:32" ht="21" x14ac:dyDescent="0.35">
      <c r="A141" s="258"/>
      <c r="B141" s="403"/>
      <c r="C141" s="319"/>
      <c r="D141" s="515"/>
      <c r="E141" s="515"/>
      <c r="F141" s="515"/>
      <c r="G141" s="412"/>
      <c r="H141" s="413"/>
      <c r="I141" s="319"/>
      <c r="J141" s="319"/>
      <c r="K141" s="319"/>
      <c r="L141" s="319"/>
      <c r="M141" s="319"/>
      <c r="N141" s="319"/>
      <c r="O141" s="319"/>
      <c r="P141" s="319"/>
      <c r="Q141" s="319"/>
      <c r="R141" s="319"/>
      <c r="S141" s="319"/>
      <c r="T141" s="319"/>
      <c r="U141" s="319"/>
      <c r="V141" s="319"/>
      <c r="W141" s="319"/>
      <c r="X141" s="319"/>
      <c r="Y141" s="319"/>
      <c r="Z141" s="319"/>
      <c r="AA141" s="319"/>
      <c r="AB141" s="319"/>
      <c r="AC141" s="319"/>
      <c r="AD141" s="319"/>
      <c r="AE141" s="319"/>
      <c r="AF141" s="319"/>
    </row>
    <row r="142" spans="1:32" ht="21" x14ac:dyDescent="0.35">
      <c r="A142" s="258"/>
      <c r="B142" s="403"/>
      <c r="C142" s="319"/>
      <c r="D142" s="400"/>
      <c r="E142" s="400"/>
      <c r="F142" s="400"/>
      <c r="G142" s="400"/>
      <c r="H142" s="400"/>
      <c r="I142" s="319"/>
      <c r="J142" s="319"/>
      <c r="K142" s="319"/>
      <c r="L142" s="319"/>
      <c r="M142" s="319"/>
      <c r="N142" s="319"/>
      <c r="O142" s="319"/>
      <c r="P142" s="319"/>
      <c r="Q142" s="319"/>
      <c r="R142" s="319"/>
      <c r="S142" s="319"/>
      <c r="T142" s="319"/>
      <c r="U142" s="319"/>
      <c r="V142" s="319"/>
      <c r="W142" s="319"/>
      <c r="X142" s="319"/>
      <c r="Y142" s="319"/>
      <c r="Z142" s="319"/>
      <c r="AA142" s="319"/>
      <c r="AB142" s="319"/>
      <c r="AC142" s="319"/>
      <c r="AD142" s="319"/>
      <c r="AE142" s="319"/>
      <c r="AF142" s="319"/>
    </row>
    <row r="143" spans="1:32" ht="21" x14ac:dyDescent="0.35">
      <c r="A143" s="258"/>
      <c r="B143" s="403"/>
      <c r="C143" s="319"/>
      <c r="D143" s="400"/>
      <c r="E143" s="400"/>
      <c r="F143" s="401"/>
      <c r="G143" s="414"/>
      <c r="H143" s="415"/>
      <c r="I143" s="319"/>
      <c r="J143" s="319"/>
      <c r="K143" s="319"/>
      <c r="L143" s="319"/>
      <c r="M143" s="319"/>
      <c r="N143" s="319"/>
      <c r="O143" s="319"/>
      <c r="P143" s="319"/>
      <c r="Q143" s="319"/>
      <c r="R143" s="319"/>
      <c r="S143" s="319"/>
      <c r="T143" s="319"/>
      <c r="U143" s="319"/>
      <c r="V143" s="319"/>
      <c r="W143" s="319"/>
      <c r="X143" s="319"/>
      <c r="Y143" s="319"/>
      <c r="Z143" s="319"/>
      <c r="AA143" s="319"/>
      <c r="AB143" s="319"/>
      <c r="AC143" s="319"/>
      <c r="AD143" s="319"/>
      <c r="AE143" s="319"/>
      <c r="AF143" s="319"/>
    </row>
    <row r="144" spans="1:32" ht="21" x14ac:dyDescent="0.35">
      <c r="A144" s="258"/>
      <c r="B144" s="403"/>
      <c r="C144" s="319"/>
      <c r="D144" s="400"/>
      <c r="E144" s="400"/>
      <c r="F144" s="400"/>
      <c r="G144" s="400"/>
      <c r="H144" s="400"/>
      <c r="I144" s="319"/>
      <c r="J144" s="319"/>
      <c r="K144" s="319"/>
      <c r="L144" s="319"/>
      <c r="M144" s="319"/>
      <c r="N144" s="319"/>
      <c r="O144" s="319"/>
      <c r="P144" s="319"/>
      <c r="Q144" s="319"/>
      <c r="R144" s="319"/>
      <c r="S144" s="319"/>
      <c r="T144" s="319"/>
      <c r="U144" s="319"/>
      <c r="V144" s="319"/>
      <c r="W144" s="319"/>
      <c r="X144" s="319"/>
      <c r="Y144" s="319"/>
      <c r="Z144" s="319"/>
      <c r="AA144" s="319"/>
      <c r="AB144" s="319"/>
      <c r="AC144" s="319"/>
      <c r="AD144" s="319"/>
      <c r="AE144" s="319"/>
      <c r="AF144" s="319"/>
    </row>
    <row r="145" spans="1:32" x14ac:dyDescent="0.25">
      <c r="A145" s="258"/>
      <c r="B145" s="319"/>
      <c r="C145" s="319"/>
      <c r="D145" s="319"/>
      <c r="E145" s="319"/>
      <c r="F145" s="401"/>
      <c r="G145" s="416"/>
      <c r="H145" s="415"/>
      <c r="I145" s="319"/>
      <c r="J145" s="319"/>
      <c r="K145" s="319"/>
      <c r="L145" s="319"/>
      <c r="M145" s="319"/>
      <c r="N145" s="319"/>
      <c r="O145" s="319"/>
      <c r="P145" s="319"/>
      <c r="Q145" s="319"/>
      <c r="R145" s="319"/>
      <c r="S145" s="319"/>
      <c r="T145" s="319"/>
      <c r="U145" s="319"/>
      <c r="V145" s="319"/>
      <c r="W145" s="319"/>
      <c r="X145" s="319"/>
      <c r="Y145" s="319"/>
      <c r="Z145" s="319"/>
      <c r="AA145" s="319"/>
      <c r="AB145" s="319"/>
      <c r="AC145" s="319"/>
      <c r="AD145" s="319"/>
      <c r="AE145" s="319"/>
      <c r="AF145" s="319"/>
    </row>
    <row r="146" spans="1:32" x14ac:dyDescent="0.25">
      <c r="A146" s="258"/>
      <c r="B146" s="319"/>
      <c r="C146" s="319"/>
      <c r="D146" s="319"/>
      <c r="E146" s="319"/>
      <c r="F146" s="319"/>
      <c r="G146" s="319"/>
      <c r="H146" s="417"/>
      <c r="I146" s="319"/>
      <c r="J146" s="407"/>
      <c r="K146" s="408"/>
      <c r="L146" s="409"/>
      <c r="M146" s="319"/>
      <c r="N146" s="319"/>
      <c r="O146" s="319"/>
      <c r="P146" s="319"/>
      <c r="Q146" s="319"/>
      <c r="R146" s="319"/>
      <c r="S146" s="319"/>
      <c r="T146" s="319"/>
      <c r="U146" s="319"/>
      <c r="V146" s="319"/>
      <c r="W146" s="319"/>
      <c r="X146" s="319"/>
      <c r="Y146" s="319"/>
      <c r="Z146" s="319"/>
      <c r="AA146" s="319"/>
      <c r="AB146" s="319"/>
      <c r="AC146" s="319"/>
      <c r="AD146" s="405"/>
      <c r="AE146" s="406"/>
      <c r="AF146" s="319"/>
    </row>
    <row r="147" spans="1:32" x14ac:dyDescent="0.25">
      <c r="A147" s="258"/>
      <c r="B147" s="319"/>
      <c r="C147" s="418"/>
      <c r="D147" s="319"/>
      <c r="E147" s="319"/>
      <c r="F147" s="401"/>
      <c r="G147" s="416"/>
      <c r="H147" s="415"/>
      <c r="I147" s="319"/>
      <c r="J147" s="407"/>
      <c r="K147" s="408"/>
      <c r="L147" s="409"/>
      <c r="M147" s="319"/>
      <c r="N147" s="319"/>
      <c r="O147" s="319"/>
      <c r="P147" s="319"/>
      <c r="Q147" s="319"/>
      <c r="R147" s="319"/>
      <c r="S147" s="319"/>
      <c r="T147" s="319"/>
      <c r="U147" s="319"/>
      <c r="V147" s="319"/>
      <c r="W147" s="319"/>
      <c r="X147" s="319"/>
      <c r="Y147" s="319"/>
      <c r="Z147" s="319"/>
      <c r="AA147" s="319"/>
      <c r="AB147" s="319"/>
      <c r="AC147" s="319"/>
      <c r="AD147" s="405"/>
      <c r="AE147" s="406"/>
      <c r="AF147" s="319"/>
    </row>
    <row r="148" spans="1:32" x14ac:dyDescent="0.25">
      <c r="A148" s="258"/>
      <c r="B148" s="319"/>
      <c r="C148" s="319"/>
      <c r="D148" s="319"/>
      <c r="E148" s="319"/>
      <c r="F148" s="319"/>
      <c r="G148" s="416"/>
      <c r="H148" s="415"/>
      <c r="I148" s="319"/>
      <c r="J148" s="407"/>
      <c r="K148" s="408"/>
      <c r="L148" s="409"/>
      <c r="M148" s="319"/>
      <c r="N148" s="319"/>
      <c r="O148" s="319"/>
      <c r="P148" s="319"/>
      <c r="Q148" s="319"/>
      <c r="R148" s="319"/>
      <c r="S148" s="319"/>
      <c r="T148" s="319"/>
      <c r="U148" s="319"/>
      <c r="V148" s="319"/>
      <c r="W148" s="319"/>
      <c r="X148" s="319"/>
      <c r="Y148" s="319"/>
      <c r="Z148" s="319"/>
      <c r="AA148" s="319"/>
      <c r="AB148" s="319"/>
      <c r="AC148" s="319"/>
      <c r="AD148" s="405"/>
      <c r="AE148" s="406"/>
      <c r="AF148" s="319"/>
    </row>
    <row r="149" spans="1:32" x14ac:dyDescent="0.25">
      <c r="A149" s="258"/>
      <c r="B149" s="319"/>
      <c r="C149" s="319"/>
      <c r="D149" s="319"/>
      <c r="E149" s="319"/>
      <c r="F149" s="401"/>
      <c r="G149" s="416"/>
      <c r="H149" s="415"/>
      <c r="I149" s="319"/>
      <c r="J149" s="407"/>
      <c r="K149" s="408"/>
      <c r="L149" s="409"/>
      <c r="M149" s="319"/>
      <c r="N149" s="319"/>
      <c r="O149" s="319"/>
      <c r="P149" s="319"/>
      <c r="Q149" s="319"/>
      <c r="R149" s="319"/>
      <c r="S149" s="319"/>
      <c r="T149" s="319"/>
      <c r="U149" s="319"/>
      <c r="V149" s="319"/>
      <c r="W149" s="319"/>
      <c r="X149" s="319"/>
      <c r="Y149" s="319"/>
      <c r="Z149" s="319"/>
      <c r="AA149" s="319"/>
      <c r="AB149" s="319"/>
      <c r="AC149" s="319"/>
      <c r="AD149" s="405"/>
      <c r="AE149" s="406"/>
      <c r="AF149" s="319"/>
    </row>
    <row r="150" spans="1:32" x14ac:dyDescent="0.25">
      <c r="A150" s="258"/>
      <c r="B150" s="319"/>
      <c r="C150" s="319"/>
      <c r="D150" s="319"/>
      <c r="E150" s="319"/>
      <c r="F150" s="319"/>
      <c r="G150" s="416"/>
      <c r="H150" s="415"/>
      <c r="I150" s="319"/>
      <c r="J150" s="407"/>
      <c r="K150" s="408"/>
      <c r="L150" s="409"/>
      <c r="M150" s="319"/>
      <c r="N150" s="319"/>
      <c r="O150" s="319"/>
      <c r="P150" s="319"/>
      <c r="Q150" s="319"/>
      <c r="R150" s="319"/>
      <c r="S150" s="319"/>
      <c r="T150" s="319"/>
      <c r="U150" s="319"/>
      <c r="V150" s="319"/>
      <c r="W150" s="319"/>
      <c r="X150" s="319"/>
      <c r="Y150" s="319"/>
      <c r="Z150" s="319"/>
      <c r="AA150" s="319"/>
      <c r="AB150" s="319"/>
      <c r="AC150" s="319"/>
      <c r="AD150" s="405"/>
      <c r="AE150" s="406"/>
      <c r="AF150" s="319"/>
    </row>
    <row r="151" spans="1:32" x14ac:dyDescent="0.25">
      <c r="A151" s="258"/>
      <c r="B151" s="319"/>
      <c r="C151" s="319"/>
      <c r="D151" s="319"/>
      <c r="E151" s="71"/>
      <c r="F151" s="401"/>
      <c r="G151" s="416"/>
      <c r="H151" s="415"/>
      <c r="I151" s="319"/>
      <c r="J151" s="407"/>
      <c r="K151" s="408"/>
      <c r="L151" s="409"/>
      <c r="M151" s="319"/>
      <c r="N151" s="319"/>
      <c r="O151" s="319"/>
      <c r="P151" s="319"/>
      <c r="Q151" s="319"/>
      <c r="R151" s="319"/>
      <c r="S151" s="319"/>
      <c r="T151" s="319"/>
      <c r="U151" s="319"/>
      <c r="V151" s="319"/>
      <c r="W151" s="319"/>
      <c r="X151" s="319"/>
      <c r="Y151" s="319"/>
      <c r="Z151" s="319"/>
      <c r="AA151" s="319"/>
      <c r="AB151" s="319"/>
      <c r="AC151" s="319"/>
      <c r="AD151" s="405"/>
      <c r="AE151" s="406"/>
      <c r="AF151" s="319"/>
    </row>
    <row r="152" spans="1:32" ht="18" customHeight="1" x14ac:dyDescent="0.25">
      <c r="A152" s="258"/>
      <c r="B152" s="319"/>
      <c r="C152" s="319"/>
      <c r="D152" s="319"/>
      <c r="E152" s="319"/>
      <c r="F152" s="319"/>
      <c r="G152" s="319"/>
      <c r="H152" s="319"/>
      <c r="I152" s="319"/>
      <c r="J152" s="407"/>
      <c r="K152" s="408"/>
      <c r="L152" s="409"/>
      <c r="M152" s="319"/>
      <c r="N152" s="319"/>
      <c r="O152" s="319"/>
      <c r="P152" s="319"/>
      <c r="Q152" s="319"/>
      <c r="R152" s="319"/>
      <c r="S152" s="319"/>
      <c r="T152" s="319"/>
      <c r="U152" s="319"/>
      <c r="V152" s="319"/>
      <c r="W152" s="319"/>
      <c r="X152" s="319"/>
      <c r="Y152" s="319"/>
      <c r="Z152" s="319"/>
      <c r="AA152" s="319"/>
      <c r="AB152" s="319"/>
      <c r="AC152" s="319"/>
      <c r="AD152" s="405"/>
      <c r="AE152" s="406"/>
      <c r="AF152" s="319"/>
    </row>
    <row r="153" spans="1:32" ht="18" customHeight="1" x14ac:dyDescent="0.25">
      <c r="A153" s="258"/>
      <c r="B153" s="319"/>
      <c r="C153" s="419"/>
      <c r="D153" s="319"/>
      <c r="E153" s="319"/>
      <c r="F153" s="401"/>
      <c r="G153" s="420"/>
      <c r="H153" s="411"/>
      <c r="I153" s="319"/>
      <c r="J153" s="407"/>
      <c r="K153" s="408"/>
      <c r="L153" s="409"/>
      <c r="M153" s="319"/>
      <c r="N153" s="319"/>
      <c r="O153" s="319"/>
      <c r="P153" s="319"/>
      <c r="Q153" s="319"/>
      <c r="R153" s="319"/>
      <c r="S153" s="319"/>
      <c r="T153" s="319"/>
      <c r="U153" s="319"/>
      <c r="V153" s="319"/>
      <c r="W153" s="319"/>
      <c r="X153" s="319"/>
      <c r="Y153" s="319"/>
      <c r="Z153" s="319"/>
      <c r="AA153" s="319"/>
      <c r="AB153" s="319"/>
      <c r="AC153" s="319"/>
      <c r="AD153" s="405"/>
      <c r="AE153" s="406"/>
      <c r="AF153" s="319"/>
    </row>
    <row r="154" spans="1:32" ht="18" customHeight="1" x14ac:dyDescent="0.25">
      <c r="A154" s="258"/>
      <c r="B154" s="319"/>
      <c r="C154" s="319"/>
      <c r="D154" s="319"/>
      <c r="E154" s="319"/>
      <c r="F154" s="320"/>
      <c r="G154" s="416"/>
      <c r="H154" s="319"/>
      <c r="I154" s="319"/>
      <c r="J154" s="407"/>
      <c r="K154" s="408"/>
      <c r="L154" s="409"/>
      <c r="M154" s="319"/>
      <c r="N154" s="319"/>
      <c r="O154" s="319"/>
      <c r="P154" s="319"/>
      <c r="Q154" s="319"/>
      <c r="R154" s="319"/>
      <c r="S154" s="319"/>
      <c r="T154" s="319"/>
      <c r="U154" s="319"/>
      <c r="V154" s="319"/>
      <c r="W154" s="319"/>
      <c r="X154" s="319"/>
      <c r="Y154" s="319"/>
      <c r="Z154" s="319"/>
      <c r="AA154" s="319"/>
      <c r="AB154" s="319"/>
      <c r="AC154" s="319"/>
      <c r="AD154" s="405"/>
      <c r="AE154" s="406"/>
      <c r="AF154" s="319"/>
    </row>
    <row r="155" spans="1:32" x14ac:dyDescent="0.25">
      <c r="A155" s="258"/>
      <c r="B155" s="319"/>
      <c r="C155" s="319"/>
      <c r="D155" s="319"/>
      <c r="E155" s="319"/>
      <c r="F155" s="320"/>
      <c r="G155" s="319"/>
      <c r="H155" s="411"/>
      <c r="I155" s="319"/>
      <c r="J155" s="407"/>
      <c r="K155" s="408"/>
      <c r="L155" s="409"/>
      <c r="M155" s="319"/>
      <c r="N155" s="319"/>
      <c r="O155" s="319"/>
      <c r="P155" s="319"/>
      <c r="Q155" s="319"/>
      <c r="R155" s="319"/>
      <c r="S155" s="319"/>
      <c r="T155" s="319"/>
      <c r="U155" s="319"/>
      <c r="V155" s="319"/>
      <c r="W155" s="319"/>
      <c r="X155" s="319"/>
      <c r="Y155" s="319"/>
      <c r="Z155" s="319"/>
      <c r="AA155" s="319"/>
      <c r="AB155" s="319"/>
      <c r="AC155" s="319"/>
      <c r="AD155" s="405"/>
      <c r="AE155" s="406"/>
      <c r="AF155" s="319"/>
    </row>
    <row r="156" spans="1:32" x14ac:dyDescent="0.25">
      <c r="A156" s="258"/>
      <c r="B156" s="319"/>
      <c r="C156" s="319"/>
      <c r="D156" s="319"/>
      <c r="E156" s="319"/>
      <c r="F156" s="320"/>
      <c r="G156" s="402"/>
      <c r="H156" s="411"/>
      <c r="I156" s="319"/>
      <c r="J156" s="319"/>
      <c r="K156" s="408"/>
      <c r="L156" s="409"/>
      <c r="M156" s="319"/>
      <c r="N156" s="319"/>
      <c r="O156" s="319"/>
      <c r="P156" s="319"/>
      <c r="Q156" s="319"/>
      <c r="R156" s="319"/>
      <c r="S156" s="319"/>
      <c r="T156" s="319"/>
      <c r="U156" s="319"/>
      <c r="V156" s="319"/>
      <c r="W156" s="319"/>
      <c r="X156" s="319"/>
      <c r="Y156" s="319"/>
      <c r="Z156" s="319"/>
      <c r="AA156" s="319"/>
      <c r="AB156" s="319"/>
      <c r="AC156" s="319"/>
      <c r="AD156" s="405"/>
      <c r="AE156" s="406"/>
      <c r="AF156" s="319"/>
    </row>
    <row r="157" spans="1:32" x14ac:dyDescent="0.25">
      <c r="A157" s="258"/>
      <c r="B157" s="319"/>
      <c r="C157" s="319"/>
      <c r="D157" s="319"/>
      <c r="E157" s="319"/>
      <c r="F157" s="320"/>
      <c r="G157" s="421"/>
      <c r="H157" s="411"/>
      <c r="I157" s="319"/>
      <c r="J157" s="319"/>
      <c r="K157" s="319"/>
      <c r="L157" s="319"/>
      <c r="M157" s="319"/>
      <c r="N157" s="319"/>
      <c r="O157" s="319"/>
      <c r="P157" s="319"/>
      <c r="Q157" s="319"/>
      <c r="R157" s="319"/>
      <c r="S157" s="319"/>
      <c r="T157" s="319"/>
      <c r="U157" s="319"/>
      <c r="V157" s="319"/>
      <c r="W157" s="319"/>
      <c r="X157" s="319"/>
      <c r="Y157" s="319"/>
      <c r="Z157" s="319"/>
      <c r="AA157" s="319"/>
      <c r="AB157" s="319"/>
      <c r="AC157" s="319"/>
      <c r="AD157" s="319"/>
      <c r="AE157" s="319"/>
      <c r="AF157" s="319"/>
    </row>
    <row r="158" spans="1:32" x14ac:dyDescent="0.25">
      <c r="A158" s="258"/>
      <c r="B158" s="319"/>
      <c r="C158" s="319"/>
      <c r="D158" s="319"/>
      <c r="E158" s="319"/>
      <c r="F158" s="320"/>
      <c r="G158" s="402"/>
      <c r="H158" s="411"/>
      <c r="I158" s="319"/>
      <c r="J158" s="319"/>
      <c r="K158" s="319"/>
      <c r="L158" s="319"/>
      <c r="M158" s="319"/>
      <c r="N158" s="319"/>
      <c r="O158" s="319"/>
      <c r="P158" s="319"/>
      <c r="Q158" s="319"/>
      <c r="R158" s="319"/>
      <c r="S158" s="319"/>
      <c r="T158" s="319"/>
      <c r="U158" s="319"/>
      <c r="V158" s="319"/>
      <c r="W158" s="319"/>
      <c r="X158" s="319"/>
      <c r="Y158" s="319"/>
      <c r="Z158" s="319"/>
      <c r="AA158" s="319"/>
      <c r="AB158" s="319"/>
      <c r="AC158" s="319"/>
      <c r="AD158" s="319"/>
      <c r="AE158" s="319"/>
      <c r="AF158" s="319"/>
    </row>
    <row r="159" spans="1:32" x14ac:dyDescent="0.25">
      <c r="A159" s="258"/>
      <c r="B159" s="319"/>
      <c r="C159" s="319"/>
      <c r="D159" s="319"/>
      <c r="E159" s="319"/>
      <c r="F159" s="320"/>
      <c r="G159" s="411"/>
      <c r="H159" s="411"/>
      <c r="I159" s="319"/>
      <c r="J159" s="319"/>
      <c r="K159" s="319"/>
      <c r="L159" s="319"/>
      <c r="M159" s="319"/>
      <c r="N159" s="319"/>
      <c r="O159" s="319"/>
      <c r="P159" s="319"/>
      <c r="Q159" s="319"/>
      <c r="R159" s="319"/>
      <c r="S159" s="319"/>
      <c r="T159" s="319"/>
      <c r="U159" s="319"/>
      <c r="V159" s="319"/>
      <c r="W159" s="319"/>
      <c r="X159" s="319"/>
      <c r="Y159" s="319"/>
      <c r="Z159" s="319"/>
      <c r="AA159" s="319"/>
      <c r="AB159" s="319"/>
      <c r="AC159" s="319"/>
      <c r="AD159" s="319"/>
      <c r="AE159" s="319"/>
      <c r="AF159" s="319"/>
    </row>
    <row r="160" spans="1:32" x14ac:dyDescent="0.25">
      <c r="A160" s="258"/>
      <c r="B160" s="319"/>
      <c r="C160" s="319"/>
      <c r="D160" s="319"/>
      <c r="E160" s="319"/>
      <c r="F160" s="320"/>
      <c r="G160" s="408"/>
      <c r="H160" s="411"/>
      <c r="I160" s="319"/>
      <c r="J160" s="319"/>
      <c r="K160" s="319"/>
      <c r="L160" s="319"/>
      <c r="M160" s="319"/>
      <c r="N160" s="319"/>
      <c r="O160" s="319"/>
      <c r="P160" s="319"/>
      <c r="Q160" s="319"/>
      <c r="R160" s="319"/>
      <c r="S160" s="319"/>
      <c r="T160" s="319"/>
      <c r="U160" s="319"/>
      <c r="V160" s="319"/>
      <c r="W160" s="319"/>
      <c r="X160" s="319"/>
      <c r="Y160" s="319"/>
      <c r="Z160" s="319"/>
      <c r="AA160" s="319"/>
      <c r="AB160" s="319"/>
      <c r="AC160" s="319"/>
      <c r="AD160" s="319"/>
      <c r="AE160" s="319"/>
      <c r="AF160" s="319"/>
    </row>
    <row r="161" spans="1:32" x14ac:dyDescent="0.25">
      <c r="A161" s="258"/>
      <c r="B161" s="319"/>
      <c r="C161" s="319"/>
      <c r="D161" s="319"/>
      <c r="E161" s="319"/>
      <c r="F161" s="320"/>
      <c r="G161" s="408"/>
      <c r="H161" s="411"/>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row>
    <row r="162" spans="1:32" s="272" customFormat="1" x14ac:dyDescent="0.25">
      <c r="A162" s="258"/>
      <c r="B162" s="319"/>
      <c r="C162" s="319"/>
      <c r="D162" s="319"/>
      <c r="E162" s="319"/>
      <c r="F162" s="320"/>
      <c r="G162" s="408"/>
      <c r="H162" s="411"/>
      <c r="I162" s="319"/>
      <c r="J162" s="319"/>
      <c r="K162" s="319"/>
      <c r="L162" s="319"/>
      <c r="M162" s="319"/>
      <c r="N162" s="319"/>
      <c r="O162" s="319"/>
      <c r="P162" s="319"/>
      <c r="Q162" s="319"/>
      <c r="R162" s="319"/>
      <c r="S162" s="319"/>
      <c r="T162" s="319"/>
      <c r="U162" s="319"/>
      <c r="V162" s="319"/>
      <c r="W162" s="319"/>
      <c r="X162" s="319"/>
      <c r="Y162" s="319"/>
      <c r="Z162" s="319"/>
      <c r="AA162" s="319"/>
      <c r="AB162" s="319"/>
      <c r="AC162" s="319"/>
      <c r="AD162" s="319"/>
      <c r="AE162" s="319"/>
      <c r="AF162" s="319"/>
    </row>
    <row r="163" spans="1:32" ht="21" x14ac:dyDescent="0.35">
      <c r="A163" s="258"/>
      <c r="B163" s="403"/>
      <c r="C163" s="319"/>
      <c r="D163" s="515"/>
      <c r="E163" s="515"/>
      <c r="F163" s="515"/>
      <c r="G163" s="412"/>
      <c r="H163" s="413"/>
      <c r="I163" s="319"/>
      <c r="J163" s="319"/>
      <c r="K163" s="319"/>
      <c r="L163" s="319"/>
      <c r="M163" s="319"/>
      <c r="N163" s="319"/>
      <c r="O163" s="319"/>
      <c r="P163" s="319"/>
      <c r="Q163" s="319"/>
      <c r="R163" s="319"/>
      <c r="S163" s="319"/>
      <c r="T163" s="319"/>
      <c r="U163" s="319"/>
      <c r="V163" s="319"/>
      <c r="W163" s="319"/>
      <c r="X163" s="319"/>
      <c r="Y163" s="319"/>
      <c r="Z163" s="319"/>
      <c r="AA163" s="319"/>
      <c r="AB163" s="319"/>
      <c r="AC163" s="319"/>
      <c r="AD163" s="319"/>
      <c r="AE163" s="319"/>
      <c r="AF163" s="319"/>
    </row>
    <row r="164" spans="1:32" ht="21" x14ac:dyDescent="0.35">
      <c r="A164" s="258"/>
      <c r="B164" s="403"/>
      <c r="C164" s="319"/>
      <c r="D164" s="400"/>
      <c r="E164" s="400"/>
      <c r="F164" s="400"/>
      <c r="G164" s="400"/>
      <c r="H164" s="400"/>
      <c r="I164" s="319"/>
      <c r="J164" s="319"/>
      <c r="K164" s="319"/>
      <c r="L164" s="319"/>
      <c r="M164" s="319"/>
      <c r="N164" s="319"/>
      <c r="O164" s="319"/>
      <c r="P164" s="319"/>
      <c r="Q164" s="319"/>
      <c r="R164" s="319"/>
      <c r="S164" s="319"/>
      <c r="T164" s="319"/>
      <c r="U164" s="319"/>
      <c r="V164" s="319"/>
      <c r="W164" s="319"/>
      <c r="X164" s="319"/>
      <c r="Y164" s="319"/>
      <c r="Z164" s="319"/>
      <c r="AA164" s="319"/>
      <c r="AB164" s="319"/>
      <c r="AC164" s="319"/>
      <c r="AD164" s="319"/>
      <c r="AE164" s="319"/>
      <c r="AF164" s="319"/>
    </row>
    <row r="165" spans="1:32" ht="21" x14ac:dyDescent="0.35">
      <c r="A165" s="258"/>
      <c r="B165" s="403"/>
      <c r="C165" s="319"/>
      <c r="D165" s="400"/>
      <c r="E165" s="400"/>
      <c r="F165" s="401"/>
      <c r="G165" s="414"/>
      <c r="H165" s="415"/>
      <c r="I165" s="319"/>
      <c r="J165" s="319"/>
      <c r="K165" s="319"/>
      <c r="L165" s="319"/>
      <c r="M165" s="319"/>
      <c r="N165" s="319"/>
      <c r="O165" s="319"/>
      <c r="P165" s="319"/>
      <c r="Q165" s="319"/>
      <c r="R165" s="319"/>
      <c r="S165" s="319"/>
      <c r="T165" s="319"/>
      <c r="U165" s="319"/>
      <c r="V165" s="319"/>
      <c r="W165" s="319"/>
      <c r="X165" s="319"/>
      <c r="Y165" s="319"/>
      <c r="Z165" s="319"/>
      <c r="AA165" s="319"/>
      <c r="AB165" s="319"/>
      <c r="AC165" s="319"/>
      <c r="AD165" s="319"/>
      <c r="AE165" s="319"/>
      <c r="AF165" s="319"/>
    </row>
    <row r="166" spans="1:32" ht="21" x14ac:dyDescent="0.35">
      <c r="A166" s="258"/>
      <c r="B166" s="403"/>
      <c r="C166" s="319"/>
      <c r="D166" s="400"/>
      <c r="E166" s="400"/>
      <c r="F166" s="400"/>
      <c r="G166" s="400"/>
      <c r="H166" s="400"/>
      <c r="I166" s="319"/>
      <c r="J166" s="319"/>
      <c r="K166" s="319"/>
      <c r="L166" s="319"/>
      <c r="M166" s="319"/>
      <c r="N166" s="319"/>
      <c r="O166" s="319"/>
      <c r="P166" s="319"/>
      <c r="Q166" s="319"/>
      <c r="R166" s="319"/>
      <c r="S166" s="319"/>
      <c r="T166" s="319"/>
      <c r="U166" s="319"/>
      <c r="V166" s="319"/>
      <c r="W166" s="319"/>
      <c r="X166" s="319"/>
      <c r="Y166" s="319"/>
      <c r="Z166" s="319"/>
      <c r="AA166" s="319"/>
      <c r="AB166" s="319"/>
      <c r="AC166" s="319"/>
      <c r="AD166" s="319"/>
      <c r="AE166" s="319"/>
      <c r="AF166" s="319"/>
    </row>
    <row r="167" spans="1:32" x14ac:dyDescent="0.25">
      <c r="A167" s="258"/>
      <c r="B167" s="319"/>
      <c r="C167" s="319"/>
      <c r="D167" s="319"/>
      <c r="E167" s="319"/>
      <c r="F167" s="401"/>
      <c r="G167" s="416"/>
      <c r="H167" s="415"/>
      <c r="I167" s="319"/>
      <c r="J167" s="319"/>
      <c r="K167" s="319"/>
      <c r="L167" s="319"/>
      <c r="M167" s="319"/>
      <c r="N167" s="319"/>
      <c r="O167" s="319"/>
      <c r="P167" s="319"/>
      <c r="Q167" s="319"/>
      <c r="R167" s="319"/>
      <c r="S167" s="319"/>
      <c r="T167" s="319"/>
      <c r="U167" s="319"/>
      <c r="V167" s="319"/>
      <c r="W167" s="319"/>
      <c r="X167" s="319"/>
      <c r="Y167" s="319"/>
      <c r="Z167" s="319"/>
      <c r="AA167" s="319"/>
      <c r="AB167" s="319"/>
      <c r="AC167" s="319"/>
      <c r="AD167" s="319"/>
      <c r="AE167" s="319"/>
      <c r="AF167" s="319"/>
    </row>
    <row r="168" spans="1:32" x14ac:dyDescent="0.25">
      <c r="A168" s="258"/>
      <c r="B168" s="319"/>
      <c r="C168" s="319"/>
      <c r="D168" s="319"/>
      <c r="E168" s="319"/>
      <c r="F168" s="319"/>
      <c r="G168" s="319"/>
      <c r="H168" s="417"/>
      <c r="I168" s="319"/>
      <c r="J168" s="407"/>
      <c r="K168" s="408"/>
      <c r="L168" s="409"/>
      <c r="M168" s="319"/>
      <c r="N168" s="319"/>
      <c r="O168" s="319"/>
      <c r="P168" s="319"/>
      <c r="Q168" s="319"/>
      <c r="R168" s="319"/>
      <c r="S168" s="319"/>
      <c r="T168" s="319"/>
      <c r="U168" s="319"/>
      <c r="V168" s="319"/>
      <c r="W168" s="319"/>
      <c r="X168" s="319"/>
      <c r="Y168" s="319"/>
      <c r="Z168" s="319"/>
      <c r="AA168" s="319"/>
      <c r="AB168" s="319"/>
      <c r="AC168" s="319"/>
      <c r="AD168" s="405"/>
      <c r="AE168" s="406"/>
      <c r="AF168" s="319"/>
    </row>
    <row r="169" spans="1:32" x14ac:dyDescent="0.25">
      <c r="A169" s="258"/>
      <c r="B169" s="319"/>
      <c r="C169" s="418"/>
      <c r="D169" s="319"/>
      <c r="E169" s="319"/>
      <c r="F169" s="401"/>
      <c r="G169" s="416"/>
      <c r="H169" s="415"/>
      <c r="I169" s="319"/>
      <c r="J169" s="407"/>
      <c r="K169" s="408"/>
      <c r="L169" s="409"/>
      <c r="M169" s="319"/>
      <c r="N169" s="319"/>
      <c r="O169" s="319"/>
      <c r="P169" s="319"/>
      <c r="Q169" s="319"/>
      <c r="R169" s="319"/>
      <c r="S169" s="319"/>
      <c r="T169" s="319"/>
      <c r="U169" s="319"/>
      <c r="V169" s="319"/>
      <c r="W169" s="319"/>
      <c r="X169" s="319"/>
      <c r="Y169" s="319"/>
      <c r="Z169" s="319"/>
      <c r="AA169" s="319"/>
      <c r="AB169" s="319"/>
      <c r="AC169" s="319"/>
      <c r="AD169" s="405"/>
      <c r="AE169" s="406"/>
      <c r="AF169" s="319"/>
    </row>
    <row r="170" spans="1:32" x14ac:dyDescent="0.25">
      <c r="A170" s="258"/>
      <c r="B170" s="319"/>
      <c r="C170" s="319"/>
      <c r="D170" s="319"/>
      <c r="E170" s="319"/>
      <c r="F170" s="319"/>
      <c r="G170" s="416"/>
      <c r="H170" s="415"/>
      <c r="I170" s="319"/>
      <c r="J170" s="407"/>
      <c r="K170" s="408"/>
      <c r="L170" s="409"/>
      <c r="M170" s="319"/>
      <c r="N170" s="319"/>
      <c r="O170" s="319"/>
      <c r="P170" s="319"/>
      <c r="Q170" s="319"/>
      <c r="R170" s="319"/>
      <c r="S170" s="319"/>
      <c r="T170" s="319"/>
      <c r="U170" s="319"/>
      <c r="V170" s="319"/>
      <c r="W170" s="319"/>
      <c r="X170" s="319"/>
      <c r="Y170" s="319"/>
      <c r="Z170" s="319"/>
      <c r="AA170" s="319"/>
      <c r="AB170" s="319"/>
      <c r="AC170" s="319"/>
      <c r="AD170" s="405"/>
      <c r="AE170" s="406"/>
      <c r="AF170" s="319"/>
    </row>
    <row r="171" spans="1:32" x14ac:dyDescent="0.25">
      <c r="A171" s="258"/>
      <c r="B171" s="319"/>
      <c r="C171" s="319"/>
      <c r="D171" s="319"/>
      <c r="E171" s="319"/>
      <c r="F171" s="401"/>
      <c r="G171" s="416"/>
      <c r="H171" s="415"/>
      <c r="I171" s="319"/>
      <c r="J171" s="407"/>
      <c r="K171" s="408"/>
      <c r="L171" s="409"/>
      <c r="M171" s="319"/>
      <c r="N171" s="319"/>
      <c r="O171" s="319"/>
      <c r="P171" s="319"/>
      <c r="Q171" s="319"/>
      <c r="R171" s="319"/>
      <c r="S171" s="319"/>
      <c r="T171" s="319"/>
      <c r="U171" s="319"/>
      <c r="V171" s="319"/>
      <c r="W171" s="319"/>
      <c r="X171" s="319"/>
      <c r="Y171" s="319"/>
      <c r="Z171" s="319"/>
      <c r="AA171" s="319"/>
      <c r="AB171" s="319"/>
      <c r="AC171" s="319"/>
      <c r="AD171" s="405"/>
      <c r="AE171" s="406"/>
      <c r="AF171" s="319"/>
    </row>
    <row r="172" spans="1:32" x14ac:dyDescent="0.25">
      <c r="A172" s="258"/>
      <c r="B172" s="319"/>
      <c r="C172" s="319"/>
      <c r="D172" s="319"/>
      <c r="E172" s="319"/>
      <c r="F172" s="319"/>
      <c r="G172" s="416"/>
      <c r="H172" s="415"/>
      <c r="I172" s="319"/>
      <c r="J172" s="407"/>
      <c r="K172" s="408"/>
      <c r="L172" s="409"/>
      <c r="M172" s="319"/>
      <c r="N172" s="319"/>
      <c r="O172" s="319"/>
      <c r="P172" s="319"/>
      <c r="Q172" s="319"/>
      <c r="R172" s="319"/>
      <c r="S172" s="319"/>
      <c r="T172" s="319"/>
      <c r="U172" s="319"/>
      <c r="V172" s="319"/>
      <c r="W172" s="319"/>
      <c r="X172" s="319"/>
      <c r="Y172" s="319"/>
      <c r="Z172" s="319"/>
      <c r="AA172" s="319"/>
      <c r="AB172" s="319"/>
      <c r="AC172" s="319"/>
      <c r="AD172" s="405"/>
      <c r="AE172" s="406"/>
      <c r="AF172" s="319"/>
    </row>
    <row r="173" spans="1:32" x14ac:dyDescent="0.25">
      <c r="A173" s="258"/>
      <c r="B173" s="319"/>
      <c r="C173" s="319"/>
      <c r="D173" s="319"/>
      <c r="E173" s="71"/>
      <c r="F173" s="401"/>
      <c r="G173" s="416"/>
      <c r="H173" s="415"/>
      <c r="I173" s="319"/>
      <c r="J173" s="407"/>
      <c r="K173" s="408"/>
      <c r="L173" s="409"/>
      <c r="M173" s="319"/>
      <c r="N173" s="319"/>
      <c r="O173" s="319"/>
      <c r="P173" s="319"/>
      <c r="Q173" s="319"/>
      <c r="R173" s="319"/>
      <c r="S173" s="319"/>
      <c r="T173" s="319"/>
      <c r="U173" s="319"/>
      <c r="V173" s="319"/>
      <c r="W173" s="319"/>
      <c r="X173" s="319"/>
      <c r="Y173" s="319"/>
      <c r="Z173" s="319"/>
      <c r="AA173" s="319"/>
      <c r="AB173" s="319"/>
      <c r="AC173" s="319"/>
      <c r="AD173" s="405"/>
      <c r="AE173" s="406"/>
      <c r="AF173" s="319"/>
    </row>
    <row r="174" spans="1:32" x14ac:dyDescent="0.25">
      <c r="A174" s="258"/>
      <c r="B174" s="319"/>
      <c r="C174" s="319"/>
      <c r="D174" s="319"/>
      <c r="E174" s="319"/>
      <c r="F174" s="319"/>
      <c r="G174" s="319"/>
      <c r="H174" s="319"/>
      <c r="I174" s="319"/>
      <c r="J174" s="407"/>
      <c r="K174" s="408"/>
      <c r="L174" s="409"/>
      <c r="M174" s="319"/>
      <c r="N174" s="319"/>
      <c r="O174" s="319"/>
      <c r="P174" s="319"/>
      <c r="Q174" s="319"/>
      <c r="R174" s="319"/>
      <c r="S174" s="319"/>
      <c r="T174" s="319"/>
      <c r="U174" s="319"/>
      <c r="V174" s="319"/>
      <c r="W174" s="319"/>
      <c r="X174" s="319"/>
      <c r="Y174" s="319"/>
      <c r="Z174" s="319"/>
      <c r="AA174" s="319"/>
      <c r="AB174" s="319"/>
      <c r="AC174" s="319"/>
      <c r="AD174" s="405"/>
      <c r="AE174" s="406"/>
      <c r="AF174" s="319"/>
    </row>
    <row r="175" spans="1:32" x14ac:dyDescent="0.25">
      <c r="A175" s="258"/>
      <c r="B175" s="319"/>
      <c r="C175" s="419"/>
      <c r="D175" s="319"/>
      <c r="E175" s="319"/>
      <c r="F175" s="401"/>
      <c r="G175" s="420"/>
      <c r="H175" s="411"/>
      <c r="I175" s="319"/>
      <c r="J175" s="407"/>
      <c r="K175" s="408"/>
      <c r="L175" s="409"/>
      <c r="M175" s="319"/>
      <c r="N175" s="319"/>
      <c r="O175" s="319"/>
      <c r="P175" s="319"/>
      <c r="Q175" s="319"/>
      <c r="R175" s="319"/>
      <c r="S175" s="319"/>
      <c r="T175" s="319"/>
      <c r="U175" s="319"/>
      <c r="V175" s="319"/>
      <c r="W175" s="319"/>
      <c r="X175" s="319"/>
      <c r="Y175" s="319"/>
      <c r="Z175" s="319"/>
      <c r="AA175" s="319"/>
      <c r="AB175" s="319"/>
      <c r="AC175" s="319"/>
      <c r="AD175" s="405"/>
      <c r="AE175" s="406"/>
      <c r="AF175" s="319"/>
    </row>
    <row r="176" spans="1:32" ht="18" customHeight="1" x14ac:dyDescent="0.25">
      <c r="A176" s="258"/>
      <c r="B176" s="319"/>
      <c r="C176" s="319"/>
      <c r="D176" s="319"/>
      <c r="E176" s="319"/>
      <c r="F176" s="320"/>
      <c r="G176" s="416"/>
      <c r="H176" s="319"/>
      <c r="I176" s="319"/>
      <c r="J176" s="407"/>
      <c r="K176" s="408"/>
      <c r="L176" s="409"/>
      <c r="M176" s="319"/>
      <c r="N176" s="319"/>
      <c r="O176" s="319"/>
      <c r="P176" s="319"/>
      <c r="Q176" s="319"/>
      <c r="R176" s="319"/>
      <c r="S176" s="319"/>
      <c r="T176" s="319"/>
      <c r="U176" s="319"/>
      <c r="V176" s="319"/>
      <c r="W176" s="319"/>
      <c r="X176" s="319"/>
      <c r="Y176" s="319"/>
      <c r="Z176" s="319"/>
      <c r="AA176" s="319"/>
      <c r="AB176" s="319"/>
      <c r="AC176" s="319"/>
      <c r="AD176" s="405"/>
      <c r="AE176" s="406"/>
      <c r="AF176" s="319"/>
    </row>
    <row r="177" spans="1:32" ht="18" customHeight="1" x14ac:dyDescent="0.25">
      <c r="A177" s="258"/>
      <c r="B177" s="319"/>
      <c r="C177" s="319"/>
      <c r="D177" s="319"/>
      <c r="E177" s="319"/>
      <c r="F177" s="320"/>
      <c r="G177" s="319"/>
      <c r="H177" s="411"/>
      <c r="I177" s="319"/>
      <c r="J177" s="407"/>
      <c r="K177" s="408"/>
      <c r="L177" s="409"/>
      <c r="M177" s="319"/>
      <c r="N177" s="319"/>
      <c r="O177" s="319"/>
      <c r="P177" s="319"/>
      <c r="Q177" s="319"/>
      <c r="R177" s="319"/>
      <c r="S177" s="319"/>
      <c r="T177" s="319"/>
      <c r="U177" s="319"/>
      <c r="V177" s="319"/>
      <c r="W177" s="319"/>
      <c r="X177" s="319"/>
      <c r="Y177" s="319"/>
      <c r="Z177" s="319"/>
      <c r="AA177" s="319"/>
      <c r="AB177" s="319"/>
      <c r="AC177" s="319"/>
      <c r="AD177" s="405"/>
      <c r="AE177" s="406"/>
      <c r="AF177" s="319"/>
    </row>
    <row r="178" spans="1:32" ht="18" customHeight="1" x14ac:dyDescent="0.25">
      <c r="A178" s="258"/>
      <c r="B178" s="319"/>
      <c r="C178" s="319"/>
      <c r="D178" s="319"/>
      <c r="E178" s="319"/>
      <c r="F178" s="320"/>
      <c r="G178" s="402"/>
      <c r="H178" s="411"/>
      <c r="I178" s="319"/>
      <c r="J178" s="319"/>
      <c r="K178" s="408"/>
      <c r="L178" s="409"/>
      <c r="M178" s="319"/>
      <c r="N178" s="319"/>
      <c r="O178" s="319"/>
      <c r="P178" s="319"/>
      <c r="Q178" s="319"/>
      <c r="R178" s="319"/>
      <c r="S178" s="319"/>
      <c r="T178" s="319"/>
      <c r="U178" s="319"/>
      <c r="V178" s="319"/>
      <c r="W178" s="319"/>
      <c r="X178" s="319"/>
      <c r="Y178" s="319"/>
      <c r="Z178" s="319"/>
      <c r="AA178" s="319"/>
      <c r="AB178" s="319"/>
      <c r="AC178" s="319"/>
      <c r="AD178" s="405"/>
      <c r="AE178" s="406"/>
      <c r="AF178" s="319"/>
    </row>
    <row r="179" spans="1:32" x14ac:dyDescent="0.25">
      <c r="A179" s="258"/>
      <c r="B179" s="319"/>
      <c r="C179" s="319"/>
      <c r="D179" s="319"/>
      <c r="E179" s="319"/>
      <c r="F179" s="320"/>
      <c r="G179" s="421"/>
      <c r="H179" s="411"/>
      <c r="I179" s="319"/>
      <c r="J179" s="319"/>
      <c r="K179" s="319"/>
      <c r="L179" s="319"/>
      <c r="M179" s="319"/>
      <c r="N179" s="319"/>
      <c r="O179" s="319"/>
      <c r="P179" s="319"/>
      <c r="Q179" s="319"/>
      <c r="R179" s="319"/>
      <c r="S179" s="319"/>
      <c r="T179" s="319"/>
      <c r="U179" s="319"/>
      <c r="V179" s="319"/>
      <c r="W179" s="319"/>
      <c r="X179" s="319"/>
      <c r="Y179" s="319"/>
      <c r="Z179" s="319"/>
      <c r="AA179" s="319"/>
      <c r="AB179" s="319"/>
      <c r="AC179" s="319"/>
      <c r="AD179" s="319"/>
      <c r="AE179" s="319"/>
      <c r="AF179" s="319"/>
    </row>
    <row r="180" spans="1:32" x14ac:dyDescent="0.25">
      <c r="A180" s="258"/>
      <c r="B180" s="319"/>
      <c r="C180" s="319"/>
      <c r="D180" s="319"/>
      <c r="E180" s="319"/>
      <c r="F180" s="320"/>
      <c r="G180" s="402"/>
      <c r="H180" s="411"/>
      <c r="I180" s="319"/>
      <c r="J180" s="319"/>
      <c r="K180" s="319"/>
      <c r="L180" s="319"/>
      <c r="M180" s="319"/>
      <c r="N180" s="319"/>
      <c r="O180" s="319"/>
      <c r="P180" s="319"/>
      <c r="Q180" s="319"/>
      <c r="R180" s="319"/>
      <c r="S180" s="319"/>
      <c r="T180" s="319"/>
      <c r="U180" s="319"/>
      <c r="V180" s="319"/>
      <c r="W180" s="319"/>
      <c r="X180" s="319"/>
      <c r="Y180" s="319"/>
      <c r="Z180" s="319"/>
      <c r="AA180" s="319"/>
      <c r="AB180" s="319"/>
      <c r="AC180" s="319"/>
      <c r="AD180" s="319"/>
      <c r="AE180" s="319"/>
      <c r="AF180" s="319"/>
    </row>
    <row r="181" spans="1:32" x14ac:dyDescent="0.25">
      <c r="A181" s="258"/>
      <c r="B181" s="319"/>
      <c r="C181" s="319"/>
      <c r="D181" s="319"/>
      <c r="E181" s="319"/>
      <c r="F181" s="320"/>
      <c r="G181" s="411"/>
      <c r="H181" s="411"/>
      <c r="I181" s="319"/>
      <c r="J181" s="319"/>
      <c r="K181" s="319"/>
      <c r="L181" s="319"/>
      <c r="M181" s="319"/>
      <c r="N181" s="319"/>
      <c r="O181" s="319"/>
      <c r="P181" s="319"/>
      <c r="Q181" s="319"/>
      <c r="R181" s="319"/>
      <c r="S181" s="319"/>
      <c r="T181" s="319"/>
      <c r="U181" s="319"/>
      <c r="V181" s="319"/>
      <c r="W181" s="319"/>
      <c r="X181" s="319"/>
      <c r="Y181" s="319"/>
      <c r="Z181" s="319"/>
      <c r="AA181" s="319"/>
      <c r="AB181" s="319"/>
      <c r="AC181" s="319"/>
      <c r="AD181" s="319"/>
      <c r="AE181" s="319"/>
      <c r="AF181" s="319"/>
    </row>
    <row r="182" spans="1:32" x14ac:dyDescent="0.25">
      <c r="A182" s="258"/>
      <c r="B182" s="319"/>
      <c r="C182" s="319"/>
      <c r="D182" s="319"/>
      <c r="E182" s="319"/>
      <c r="F182" s="320"/>
      <c r="G182" s="408"/>
      <c r="H182" s="411"/>
      <c r="I182" s="319"/>
      <c r="J182" s="319"/>
      <c r="K182" s="319"/>
      <c r="L182" s="319"/>
      <c r="M182" s="319"/>
      <c r="N182" s="319"/>
      <c r="O182" s="319"/>
      <c r="P182" s="319"/>
      <c r="Q182" s="319"/>
      <c r="R182" s="319"/>
      <c r="S182" s="319"/>
      <c r="T182" s="319"/>
      <c r="U182" s="319"/>
      <c r="V182" s="319"/>
      <c r="W182" s="319"/>
      <c r="X182" s="319"/>
      <c r="Y182" s="319"/>
      <c r="Z182" s="319"/>
      <c r="AA182" s="319"/>
      <c r="AB182" s="319"/>
      <c r="AC182" s="319"/>
      <c r="AD182" s="319"/>
      <c r="AE182" s="319"/>
      <c r="AF182" s="319"/>
    </row>
    <row r="183" spans="1:32" x14ac:dyDescent="0.25">
      <c r="A183" s="258"/>
      <c r="B183" s="319"/>
      <c r="C183" s="319"/>
      <c r="D183" s="319"/>
      <c r="E183" s="319"/>
      <c r="F183" s="320"/>
      <c r="G183" s="408"/>
      <c r="H183" s="411"/>
      <c r="I183" s="319"/>
      <c r="J183" s="319"/>
      <c r="K183" s="319"/>
      <c r="L183" s="319"/>
      <c r="M183" s="319"/>
      <c r="N183" s="319"/>
      <c r="O183" s="319"/>
      <c r="P183" s="319"/>
      <c r="Q183" s="319"/>
      <c r="R183" s="319"/>
      <c r="S183" s="319"/>
      <c r="T183" s="319"/>
      <c r="U183" s="319"/>
      <c r="V183" s="319"/>
      <c r="W183" s="319"/>
      <c r="X183" s="319"/>
      <c r="Y183" s="319"/>
      <c r="Z183" s="319"/>
      <c r="AA183" s="319"/>
      <c r="AB183" s="319"/>
      <c r="AC183" s="319"/>
      <c r="AD183" s="319"/>
      <c r="AE183" s="319"/>
      <c r="AF183" s="319"/>
    </row>
    <row r="184" spans="1:32" s="272" customFormat="1" x14ac:dyDescent="0.25">
      <c r="A184" s="258"/>
      <c r="B184" s="319"/>
      <c r="C184" s="319"/>
      <c r="D184" s="319"/>
      <c r="E184" s="319"/>
      <c r="F184" s="320"/>
      <c r="G184" s="408"/>
      <c r="H184" s="411"/>
      <c r="I184" s="319"/>
      <c r="J184" s="319"/>
      <c r="K184" s="319"/>
      <c r="L184" s="319"/>
      <c r="M184" s="319"/>
      <c r="N184" s="319"/>
      <c r="O184" s="319"/>
      <c r="P184" s="319"/>
      <c r="Q184" s="319"/>
      <c r="R184" s="319"/>
      <c r="S184" s="319"/>
      <c r="T184" s="319"/>
      <c r="U184" s="319"/>
      <c r="V184" s="319"/>
      <c r="W184" s="319"/>
      <c r="X184" s="319"/>
      <c r="Y184" s="319"/>
      <c r="Z184" s="319"/>
      <c r="AA184" s="319"/>
      <c r="AB184" s="319"/>
      <c r="AC184" s="319"/>
      <c r="AD184" s="319"/>
      <c r="AE184" s="319"/>
      <c r="AF184" s="319"/>
    </row>
    <row r="185" spans="1:32" ht="21" x14ac:dyDescent="0.35">
      <c r="A185" s="258"/>
      <c r="B185" s="403"/>
      <c r="C185" s="319"/>
      <c r="D185" s="515"/>
      <c r="E185" s="515"/>
      <c r="F185" s="515"/>
      <c r="G185" s="412"/>
      <c r="H185" s="413"/>
      <c r="I185" s="319"/>
      <c r="J185" s="319"/>
      <c r="K185" s="319"/>
      <c r="L185" s="319"/>
      <c r="M185" s="319"/>
      <c r="N185" s="319"/>
      <c r="O185" s="319"/>
      <c r="P185" s="319"/>
      <c r="Q185" s="319"/>
      <c r="R185" s="319"/>
      <c r="S185" s="319"/>
      <c r="T185" s="319"/>
      <c r="U185" s="319"/>
      <c r="V185" s="319"/>
      <c r="W185" s="319"/>
      <c r="X185" s="319"/>
      <c r="Y185" s="319"/>
      <c r="Z185" s="319"/>
      <c r="AA185" s="319"/>
      <c r="AB185" s="319"/>
      <c r="AC185" s="319"/>
      <c r="AD185" s="319"/>
      <c r="AE185" s="319"/>
      <c r="AF185" s="319"/>
    </row>
    <row r="186" spans="1:32" ht="21" x14ac:dyDescent="0.35">
      <c r="A186" s="258"/>
      <c r="B186" s="403"/>
      <c r="C186" s="319"/>
      <c r="D186" s="400"/>
      <c r="E186" s="400"/>
      <c r="F186" s="400"/>
      <c r="G186" s="400"/>
      <c r="H186" s="400"/>
      <c r="I186" s="319"/>
      <c r="J186" s="319"/>
      <c r="K186" s="319"/>
      <c r="L186" s="319"/>
      <c r="M186" s="319"/>
      <c r="N186" s="319"/>
      <c r="O186" s="319"/>
      <c r="P186" s="319"/>
      <c r="Q186" s="319"/>
      <c r="R186" s="319"/>
      <c r="S186" s="319"/>
      <c r="T186" s="319"/>
      <c r="U186" s="319"/>
      <c r="V186" s="319"/>
      <c r="W186" s="319"/>
      <c r="X186" s="319"/>
      <c r="Y186" s="319"/>
      <c r="Z186" s="319"/>
      <c r="AA186" s="319"/>
      <c r="AB186" s="319"/>
      <c r="AC186" s="319"/>
      <c r="AD186" s="319"/>
      <c r="AE186" s="319"/>
      <c r="AF186" s="319"/>
    </row>
    <row r="187" spans="1:32" ht="21" x14ac:dyDescent="0.35">
      <c r="A187" s="258"/>
      <c r="B187" s="403"/>
      <c r="C187" s="319"/>
      <c r="D187" s="400"/>
      <c r="E187" s="400"/>
      <c r="F187" s="401"/>
      <c r="G187" s="414"/>
      <c r="H187" s="415"/>
      <c r="I187" s="319"/>
      <c r="J187" s="319"/>
      <c r="K187" s="319"/>
      <c r="L187" s="319"/>
      <c r="M187" s="319"/>
      <c r="N187" s="319"/>
      <c r="O187" s="319"/>
      <c r="P187" s="319"/>
      <c r="Q187" s="319"/>
      <c r="R187" s="319"/>
      <c r="S187" s="319"/>
      <c r="T187" s="319"/>
      <c r="U187" s="319"/>
      <c r="V187" s="319"/>
      <c r="W187" s="319"/>
      <c r="X187" s="319"/>
      <c r="Y187" s="319"/>
      <c r="Z187" s="319"/>
      <c r="AA187" s="319"/>
      <c r="AB187" s="319"/>
      <c r="AC187" s="319"/>
      <c r="AD187" s="319"/>
      <c r="AE187" s="319"/>
      <c r="AF187" s="319"/>
    </row>
    <row r="188" spans="1:32" ht="21" x14ac:dyDescent="0.35">
      <c r="A188" s="258"/>
      <c r="B188" s="403"/>
      <c r="C188" s="319"/>
      <c r="D188" s="400"/>
      <c r="E188" s="400"/>
      <c r="F188" s="400"/>
      <c r="G188" s="400"/>
      <c r="H188" s="400"/>
      <c r="I188" s="319"/>
      <c r="J188" s="319"/>
      <c r="K188" s="319"/>
      <c r="L188" s="319"/>
      <c r="M188" s="319"/>
      <c r="N188" s="319"/>
      <c r="O188" s="319"/>
      <c r="P188" s="319"/>
      <c r="Q188" s="319"/>
      <c r="R188" s="319"/>
      <c r="S188" s="319"/>
      <c r="T188" s="319"/>
      <c r="U188" s="319"/>
      <c r="V188" s="319"/>
      <c r="W188" s="319"/>
      <c r="X188" s="319"/>
      <c r="Y188" s="319"/>
      <c r="Z188" s="319"/>
      <c r="AA188" s="319"/>
      <c r="AB188" s="319"/>
      <c r="AC188" s="319"/>
      <c r="AD188" s="319"/>
      <c r="AE188" s="319"/>
      <c r="AF188" s="319"/>
    </row>
    <row r="189" spans="1:32" x14ac:dyDescent="0.25">
      <c r="A189" s="258"/>
      <c r="B189" s="319"/>
      <c r="C189" s="319"/>
      <c r="D189" s="319"/>
      <c r="E189" s="319"/>
      <c r="F189" s="401"/>
      <c r="G189" s="416"/>
      <c r="H189" s="415"/>
      <c r="I189" s="319"/>
      <c r="J189" s="319"/>
      <c r="K189" s="319"/>
      <c r="L189" s="319"/>
      <c r="M189" s="319"/>
      <c r="N189" s="319"/>
      <c r="O189" s="319"/>
      <c r="P189" s="319"/>
      <c r="Q189" s="319"/>
      <c r="R189" s="319"/>
      <c r="S189" s="319"/>
      <c r="T189" s="319"/>
      <c r="U189" s="319"/>
      <c r="V189" s="319"/>
      <c r="W189" s="319"/>
      <c r="X189" s="319"/>
      <c r="Y189" s="319"/>
      <c r="Z189" s="319"/>
      <c r="AA189" s="319"/>
      <c r="AB189" s="319"/>
      <c r="AC189" s="319"/>
      <c r="AD189" s="319"/>
      <c r="AE189" s="319"/>
      <c r="AF189" s="319"/>
    </row>
    <row r="190" spans="1:32" x14ac:dyDescent="0.25">
      <c r="A190" s="258"/>
      <c r="B190" s="319"/>
      <c r="C190" s="319"/>
      <c r="D190" s="319"/>
      <c r="E190" s="319"/>
      <c r="F190" s="319"/>
      <c r="G190" s="319"/>
      <c r="H190" s="417"/>
      <c r="I190" s="319"/>
      <c r="J190" s="407"/>
      <c r="K190" s="408"/>
      <c r="L190" s="409"/>
      <c r="M190" s="319"/>
      <c r="N190" s="319"/>
      <c r="O190" s="319"/>
      <c r="P190" s="319"/>
      <c r="Q190" s="319"/>
      <c r="R190" s="319"/>
      <c r="S190" s="319"/>
      <c r="T190" s="319"/>
      <c r="U190" s="319"/>
      <c r="V190" s="319"/>
      <c r="W190" s="319"/>
      <c r="X190" s="319"/>
      <c r="Y190" s="319"/>
      <c r="Z190" s="319"/>
      <c r="AA190" s="319"/>
      <c r="AB190" s="319"/>
      <c r="AC190" s="319"/>
      <c r="AD190" s="405"/>
      <c r="AE190" s="406"/>
      <c r="AF190" s="319"/>
    </row>
    <row r="191" spans="1:32" x14ac:dyDescent="0.25">
      <c r="A191" s="258"/>
      <c r="B191" s="319"/>
      <c r="C191" s="418"/>
      <c r="D191" s="319"/>
      <c r="E191" s="319"/>
      <c r="F191" s="401"/>
      <c r="G191" s="416"/>
      <c r="H191" s="415"/>
      <c r="I191" s="319"/>
      <c r="J191" s="407"/>
      <c r="K191" s="408"/>
      <c r="L191" s="409"/>
      <c r="M191" s="319"/>
      <c r="N191" s="319"/>
      <c r="O191" s="319"/>
      <c r="P191" s="319"/>
      <c r="Q191" s="319"/>
      <c r="R191" s="319"/>
      <c r="S191" s="319"/>
      <c r="T191" s="319"/>
      <c r="U191" s="319"/>
      <c r="V191" s="319"/>
      <c r="W191" s="319"/>
      <c r="X191" s="319"/>
      <c r="Y191" s="319"/>
      <c r="Z191" s="319"/>
      <c r="AA191" s="319"/>
      <c r="AB191" s="319"/>
      <c r="AC191" s="319"/>
      <c r="AD191" s="405"/>
      <c r="AE191" s="406"/>
      <c r="AF191" s="319"/>
    </row>
    <row r="192" spans="1:32" x14ac:dyDescent="0.25">
      <c r="A192" s="258"/>
      <c r="B192" s="319"/>
      <c r="C192" s="319"/>
      <c r="D192" s="319"/>
      <c r="E192" s="319"/>
      <c r="F192" s="319"/>
      <c r="G192" s="416"/>
      <c r="H192" s="415"/>
      <c r="I192" s="319"/>
      <c r="J192" s="407"/>
      <c r="K192" s="408"/>
      <c r="L192" s="409"/>
      <c r="M192" s="319"/>
      <c r="N192" s="319"/>
      <c r="O192" s="319"/>
      <c r="P192" s="319"/>
      <c r="Q192" s="319"/>
      <c r="R192" s="319"/>
      <c r="S192" s="319"/>
      <c r="T192" s="319"/>
      <c r="U192" s="319"/>
      <c r="V192" s="319"/>
      <c r="W192" s="319"/>
      <c r="X192" s="319"/>
      <c r="Y192" s="319"/>
      <c r="Z192" s="319"/>
      <c r="AA192" s="319"/>
      <c r="AB192" s="319"/>
      <c r="AC192" s="319"/>
      <c r="AD192" s="405"/>
      <c r="AE192" s="406"/>
      <c r="AF192" s="319"/>
    </row>
    <row r="193" spans="1:32" x14ac:dyDescent="0.25">
      <c r="A193" s="258"/>
      <c r="B193" s="319"/>
      <c r="C193" s="319"/>
      <c r="D193" s="319"/>
      <c r="E193" s="319"/>
      <c r="F193" s="401"/>
      <c r="G193" s="416"/>
      <c r="H193" s="415"/>
      <c r="I193" s="319"/>
      <c r="J193" s="407"/>
      <c r="K193" s="408"/>
      <c r="L193" s="409"/>
      <c r="M193" s="319"/>
      <c r="N193" s="319"/>
      <c r="O193" s="319"/>
      <c r="P193" s="319"/>
      <c r="Q193" s="319"/>
      <c r="R193" s="319"/>
      <c r="S193" s="319"/>
      <c r="T193" s="319"/>
      <c r="U193" s="319"/>
      <c r="V193" s="319"/>
      <c r="W193" s="319"/>
      <c r="X193" s="319"/>
      <c r="Y193" s="319"/>
      <c r="Z193" s="319"/>
      <c r="AA193" s="319"/>
      <c r="AB193" s="319"/>
      <c r="AC193" s="319"/>
      <c r="AD193" s="405"/>
      <c r="AE193" s="406"/>
      <c r="AF193" s="319"/>
    </row>
    <row r="194" spans="1:32" x14ac:dyDescent="0.25">
      <c r="A194" s="258"/>
      <c r="B194" s="319"/>
      <c r="C194" s="319"/>
      <c r="D194" s="319"/>
      <c r="E194" s="319"/>
      <c r="F194" s="319"/>
      <c r="G194" s="416"/>
      <c r="H194" s="415"/>
      <c r="I194" s="319"/>
      <c r="J194" s="407"/>
      <c r="K194" s="408"/>
      <c r="L194" s="409"/>
      <c r="M194" s="319"/>
      <c r="N194" s="319"/>
      <c r="O194" s="319"/>
      <c r="P194" s="319"/>
      <c r="Q194" s="319"/>
      <c r="R194" s="319"/>
      <c r="S194" s="319"/>
      <c r="T194" s="319"/>
      <c r="U194" s="319"/>
      <c r="V194" s="319"/>
      <c r="W194" s="319"/>
      <c r="X194" s="319"/>
      <c r="Y194" s="319"/>
      <c r="Z194" s="319"/>
      <c r="AA194" s="319"/>
      <c r="AB194" s="319"/>
      <c r="AC194" s="319"/>
      <c r="AD194" s="405"/>
      <c r="AE194" s="406"/>
      <c r="AF194" s="319"/>
    </row>
    <row r="195" spans="1:32" x14ac:dyDescent="0.25">
      <c r="A195" s="258"/>
      <c r="B195" s="319"/>
      <c r="C195" s="319"/>
      <c r="D195" s="319"/>
      <c r="E195" s="71"/>
      <c r="F195" s="401"/>
      <c r="G195" s="416"/>
      <c r="H195" s="415"/>
      <c r="I195" s="319"/>
      <c r="J195" s="407"/>
      <c r="K195" s="408"/>
      <c r="L195" s="409"/>
      <c r="M195" s="319"/>
      <c r="N195" s="319"/>
      <c r="O195" s="319"/>
      <c r="P195" s="319"/>
      <c r="Q195" s="319"/>
      <c r="R195" s="319"/>
      <c r="S195" s="319"/>
      <c r="T195" s="319"/>
      <c r="U195" s="319"/>
      <c r="V195" s="319"/>
      <c r="W195" s="319"/>
      <c r="X195" s="319"/>
      <c r="Y195" s="319"/>
      <c r="Z195" s="319"/>
      <c r="AA195" s="319"/>
      <c r="AB195" s="319"/>
      <c r="AC195" s="319"/>
      <c r="AD195" s="405"/>
      <c r="AE195" s="406"/>
      <c r="AF195" s="319"/>
    </row>
    <row r="196" spans="1:32" x14ac:dyDescent="0.25">
      <c r="A196" s="258"/>
      <c r="B196" s="319"/>
      <c r="C196" s="319"/>
      <c r="D196" s="319"/>
      <c r="E196" s="319"/>
      <c r="F196" s="319"/>
      <c r="G196" s="319"/>
      <c r="H196" s="319"/>
      <c r="I196" s="319"/>
      <c r="J196" s="407"/>
      <c r="K196" s="408"/>
      <c r="L196" s="409"/>
      <c r="M196" s="319"/>
      <c r="N196" s="319"/>
      <c r="O196" s="319"/>
      <c r="P196" s="319"/>
      <c r="Q196" s="319"/>
      <c r="R196" s="319"/>
      <c r="S196" s="319"/>
      <c r="T196" s="319"/>
      <c r="U196" s="319"/>
      <c r="V196" s="319"/>
      <c r="W196" s="319"/>
      <c r="X196" s="319"/>
      <c r="Y196" s="319"/>
      <c r="Z196" s="319"/>
      <c r="AA196" s="319"/>
      <c r="AB196" s="319"/>
      <c r="AC196" s="319"/>
      <c r="AD196" s="405"/>
      <c r="AE196" s="406"/>
      <c r="AF196" s="319"/>
    </row>
    <row r="197" spans="1:32" x14ac:dyDescent="0.25">
      <c r="A197" s="258"/>
      <c r="B197" s="319"/>
      <c r="C197" s="419"/>
      <c r="D197" s="319"/>
      <c r="E197" s="319"/>
      <c r="F197" s="401"/>
      <c r="G197" s="420"/>
      <c r="H197" s="411"/>
      <c r="I197" s="319"/>
      <c r="J197" s="407"/>
      <c r="K197" s="408"/>
      <c r="L197" s="409"/>
      <c r="M197" s="319"/>
      <c r="N197" s="319"/>
      <c r="O197" s="319"/>
      <c r="P197" s="319"/>
      <c r="Q197" s="319"/>
      <c r="R197" s="319"/>
      <c r="S197" s="319"/>
      <c r="T197" s="319"/>
      <c r="U197" s="319"/>
      <c r="V197" s="319"/>
      <c r="W197" s="319"/>
      <c r="X197" s="319"/>
      <c r="Y197" s="319"/>
      <c r="Z197" s="319"/>
      <c r="AA197" s="319"/>
      <c r="AB197" s="319"/>
      <c r="AC197" s="319"/>
      <c r="AD197" s="405"/>
      <c r="AE197" s="406"/>
      <c r="AF197" s="319"/>
    </row>
    <row r="198" spans="1:32" x14ac:dyDescent="0.25">
      <c r="A198" s="258"/>
      <c r="B198" s="319"/>
      <c r="C198" s="319"/>
      <c r="D198" s="319"/>
      <c r="E198" s="319"/>
      <c r="F198" s="320"/>
      <c r="G198" s="416"/>
      <c r="H198" s="319"/>
      <c r="I198" s="319"/>
      <c r="J198" s="407"/>
      <c r="K198" s="408"/>
      <c r="L198" s="409"/>
      <c r="M198" s="319"/>
      <c r="N198" s="319"/>
      <c r="O198" s="319"/>
      <c r="P198" s="319"/>
      <c r="Q198" s="319"/>
      <c r="R198" s="319"/>
      <c r="S198" s="319"/>
      <c r="T198" s="319"/>
      <c r="U198" s="319"/>
      <c r="V198" s="319"/>
      <c r="W198" s="319"/>
      <c r="X198" s="319"/>
      <c r="Y198" s="319"/>
      <c r="Z198" s="319"/>
      <c r="AA198" s="319"/>
      <c r="AB198" s="319"/>
      <c r="AC198" s="319"/>
      <c r="AD198" s="405"/>
      <c r="AE198" s="406"/>
      <c r="AF198" s="319"/>
    </row>
    <row r="199" spans="1:32" x14ac:dyDescent="0.25">
      <c r="A199" s="258"/>
      <c r="B199" s="319"/>
      <c r="C199" s="319"/>
      <c r="D199" s="319"/>
      <c r="E199" s="319"/>
      <c r="F199" s="320"/>
      <c r="G199" s="319"/>
      <c r="H199" s="411"/>
      <c r="I199" s="319"/>
      <c r="J199" s="407"/>
      <c r="K199" s="408"/>
      <c r="L199" s="409"/>
      <c r="M199" s="319"/>
      <c r="N199" s="319"/>
      <c r="O199" s="319"/>
      <c r="P199" s="319"/>
      <c r="Q199" s="319"/>
      <c r="R199" s="319"/>
      <c r="S199" s="319"/>
      <c r="T199" s="319"/>
      <c r="U199" s="319"/>
      <c r="V199" s="319"/>
      <c r="W199" s="319"/>
      <c r="X199" s="319"/>
      <c r="Y199" s="319"/>
      <c r="Z199" s="319"/>
      <c r="AA199" s="319"/>
      <c r="AB199" s="319"/>
      <c r="AC199" s="319"/>
      <c r="AD199" s="405"/>
      <c r="AE199" s="406"/>
      <c r="AF199" s="319"/>
    </row>
    <row r="200" spans="1:32" ht="18" customHeight="1" x14ac:dyDescent="0.25">
      <c r="A200" s="258"/>
      <c r="B200" s="319"/>
      <c r="C200" s="319"/>
      <c r="D200" s="319"/>
      <c r="E200" s="319"/>
      <c r="F200" s="320"/>
      <c r="G200" s="402"/>
      <c r="H200" s="411"/>
      <c r="I200" s="319"/>
      <c r="J200" s="319"/>
      <c r="K200" s="408"/>
      <c r="L200" s="409"/>
      <c r="M200" s="319"/>
      <c r="N200" s="319"/>
      <c r="O200" s="319"/>
      <c r="P200" s="319"/>
      <c r="Q200" s="319"/>
      <c r="R200" s="319"/>
      <c r="S200" s="319"/>
      <c r="T200" s="319"/>
      <c r="U200" s="319"/>
      <c r="V200" s="319"/>
      <c r="W200" s="319"/>
      <c r="X200" s="319"/>
      <c r="Y200" s="319"/>
      <c r="Z200" s="319"/>
      <c r="AA200" s="319"/>
      <c r="AB200" s="319"/>
      <c r="AC200" s="319"/>
      <c r="AD200" s="405"/>
      <c r="AE200" s="406"/>
      <c r="AF200" s="319"/>
    </row>
    <row r="201" spans="1:32" ht="18" customHeight="1" x14ac:dyDescent="0.25">
      <c r="A201" s="258"/>
      <c r="B201" s="319"/>
      <c r="C201" s="319"/>
      <c r="D201" s="319"/>
      <c r="E201" s="319"/>
      <c r="F201" s="320"/>
      <c r="G201" s="421"/>
      <c r="H201" s="411"/>
      <c r="I201" s="319"/>
      <c r="J201" s="319"/>
      <c r="K201" s="319"/>
      <c r="L201" s="319"/>
      <c r="M201" s="319"/>
      <c r="N201" s="319"/>
      <c r="O201" s="319"/>
      <c r="P201" s="319"/>
      <c r="Q201" s="319"/>
      <c r="R201" s="319"/>
      <c r="S201" s="319"/>
      <c r="T201" s="319"/>
      <c r="U201" s="319"/>
      <c r="V201" s="319"/>
      <c r="W201" s="319"/>
      <c r="X201" s="319"/>
      <c r="Y201" s="319"/>
      <c r="Z201" s="319"/>
      <c r="AA201" s="319"/>
      <c r="AB201" s="319"/>
      <c r="AC201" s="319"/>
      <c r="AD201" s="319"/>
      <c r="AE201" s="319"/>
      <c r="AF201" s="319"/>
    </row>
    <row r="202" spans="1:32" ht="18" customHeight="1" x14ac:dyDescent="0.25">
      <c r="A202" s="258"/>
      <c r="B202" s="319"/>
      <c r="C202" s="319"/>
      <c r="D202" s="319"/>
      <c r="E202" s="319"/>
      <c r="F202" s="320"/>
      <c r="G202" s="402"/>
      <c r="H202" s="411"/>
      <c r="I202" s="319"/>
      <c r="J202" s="319"/>
      <c r="K202" s="319"/>
      <c r="L202" s="319"/>
      <c r="M202" s="319"/>
      <c r="N202" s="319"/>
      <c r="O202" s="319"/>
      <c r="P202" s="319"/>
      <c r="Q202" s="319"/>
      <c r="R202" s="319"/>
      <c r="S202" s="319"/>
      <c r="T202" s="319"/>
      <c r="U202" s="319"/>
      <c r="V202" s="319"/>
      <c r="W202" s="319"/>
      <c r="X202" s="319"/>
      <c r="Y202" s="319"/>
      <c r="Z202" s="319"/>
      <c r="AA202" s="319"/>
      <c r="AB202" s="319"/>
      <c r="AC202" s="319"/>
      <c r="AD202" s="319"/>
      <c r="AE202" s="319"/>
      <c r="AF202" s="319"/>
    </row>
    <row r="203" spans="1:32" x14ac:dyDescent="0.25">
      <c r="A203" s="258"/>
      <c r="B203" s="319"/>
      <c r="C203" s="319"/>
      <c r="D203" s="319"/>
      <c r="E203" s="319"/>
      <c r="F203" s="320"/>
      <c r="G203" s="411"/>
      <c r="H203" s="411"/>
      <c r="I203" s="319"/>
      <c r="J203" s="319"/>
      <c r="K203" s="319"/>
      <c r="L203" s="319"/>
      <c r="M203" s="319"/>
      <c r="N203" s="319"/>
      <c r="O203" s="319"/>
      <c r="P203" s="319"/>
      <c r="Q203" s="319"/>
      <c r="R203" s="319"/>
      <c r="S203" s="319"/>
      <c r="T203" s="319"/>
      <c r="U203" s="319"/>
      <c r="V203" s="319"/>
      <c r="W203" s="319"/>
      <c r="X203" s="319"/>
      <c r="Y203" s="319"/>
      <c r="Z203" s="319"/>
      <c r="AA203" s="319"/>
      <c r="AB203" s="319"/>
      <c r="AC203" s="319"/>
      <c r="AD203" s="319"/>
      <c r="AE203" s="319"/>
      <c r="AF203" s="319"/>
    </row>
    <row r="204" spans="1:32" x14ac:dyDescent="0.25">
      <c r="A204" s="258"/>
      <c r="B204" s="319"/>
      <c r="C204" s="319"/>
      <c r="D204" s="319"/>
      <c r="E204" s="319"/>
      <c r="F204" s="320"/>
      <c r="G204" s="408"/>
      <c r="H204" s="411"/>
      <c r="I204" s="319"/>
      <c r="J204" s="319"/>
      <c r="K204" s="319"/>
      <c r="L204" s="319"/>
      <c r="M204" s="319"/>
      <c r="N204" s="319"/>
      <c r="O204" s="319"/>
      <c r="P204" s="319"/>
      <c r="Q204" s="319"/>
      <c r="R204" s="319"/>
      <c r="S204" s="319"/>
      <c r="T204" s="319"/>
      <c r="U204" s="319"/>
      <c r="V204" s="319"/>
      <c r="W204" s="319"/>
      <c r="X204" s="319"/>
      <c r="Y204" s="319"/>
      <c r="Z204" s="319"/>
      <c r="AA204" s="319"/>
      <c r="AB204" s="319"/>
      <c r="AC204" s="319"/>
      <c r="AD204" s="319"/>
      <c r="AE204" s="319"/>
      <c r="AF204" s="319"/>
    </row>
    <row r="205" spans="1:32" x14ac:dyDescent="0.25">
      <c r="A205" s="258"/>
      <c r="B205" s="319"/>
      <c r="C205" s="319"/>
      <c r="D205" s="319"/>
      <c r="E205" s="319"/>
      <c r="F205" s="320"/>
      <c r="G205" s="408"/>
      <c r="H205" s="411"/>
      <c r="I205" s="319"/>
      <c r="J205" s="319"/>
      <c r="K205" s="319"/>
      <c r="L205" s="319"/>
      <c r="M205" s="319"/>
      <c r="N205" s="319"/>
      <c r="O205" s="319"/>
      <c r="P205" s="319"/>
      <c r="Q205" s="319"/>
      <c r="R205" s="319"/>
      <c r="S205" s="319"/>
      <c r="T205" s="319"/>
      <c r="U205" s="319"/>
      <c r="V205" s="319"/>
      <c r="W205" s="319"/>
      <c r="X205" s="319"/>
      <c r="Y205" s="319"/>
      <c r="Z205" s="319"/>
      <c r="AA205" s="319"/>
      <c r="AB205" s="319"/>
      <c r="AC205" s="319"/>
      <c r="AD205" s="319"/>
      <c r="AE205" s="319"/>
      <c r="AF205" s="319"/>
    </row>
    <row r="206" spans="1:32" s="362" customFormat="1" x14ac:dyDescent="0.25">
      <c r="A206" s="319"/>
      <c r="B206" s="319"/>
      <c r="C206" s="319"/>
      <c r="D206" s="319"/>
      <c r="E206" s="319"/>
      <c r="F206" s="320"/>
      <c r="G206" s="408"/>
      <c r="H206" s="411"/>
      <c r="I206" s="319"/>
      <c r="J206" s="319"/>
      <c r="K206" s="319"/>
      <c r="L206" s="319"/>
      <c r="M206" s="319"/>
      <c r="N206" s="319"/>
      <c r="O206" s="319"/>
      <c r="P206" s="319"/>
      <c r="Q206" s="319"/>
      <c r="R206" s="319"/>
      <c r="S206" s="319"/>
      <c r="T206" s="319"/>
      <c r="U206" s="319"/>
      <c r="V206" s="319"/>
      <c r="W206" s="319"/>
      <c r="X206" s="319"/>
      <c r="Y206" s="319"/>
      <c r="Z206" s="319"/>
      <c r="AA206" s="319"/>
      <c r="AB206" s="319"/>
      <c r="AC206" s="319"/>
      <c r="AD206" s="319"/>
      <c r="AE206" s="319"/>
      <c r="AF206" s="319"/>
    </row>
    <row r="207" spans="1:32" ht="21" x14ac:dyDescent="0.35">
      <c r="A207" s="258"/>
      <c r="B207" s="403"/>
      <c r="C207" s="319"/>
      <c r="D207" s="515"/>
      <c r="E207" s="515"/>
      <c r="F207" s="515"/>
      <c r="G207" s="412"/>
      <c r="H207" s="413"/>
      <c r="I207" s="319"/>
      <c r="J207" s="319"/>
      <c r="K207" s="319"/>
      <c r="L207" s="319"/>
      <c r="M207" s="319"/>
      <c r="N207" s="319"/>
      <c r="O207" s="319"/>
      <c r="P207" s="319"/>
      <c r="Q207" s="319"/>
      <c r="R207" s="319"/>
      <c r="S207" s="319"/>
      <c r="T207" s="319"/>
      <c r="U207" s="319"/>
      <c r="V207" s="319"/>
      <c r="W207" s="319"/>
      <c r="X207" s="319"/>
      <c r="Y207" s="319"/>
      <c r="Z207" s="319"/>
      <c r="AA207" s="319"/>
      <c r="AB207" s="319"/>
      <c r="AC207" s="319"/>
      <c r="AD207" s="319"/>
      <c r="AE207" s="319"/>
      <c r="AF207" s="319"/>
    </row>
    <row r="208" spans="1:32" ht="21" x14ac:dyDescent="0.35">
      <c r="A208" s="258"/>
      <c r="B208" s="403"/>
      <c r="C208" s="319"/>
      <c r="D208" s="400"/>
      <c r="E208" s="400"/>
      <c r="F208" s="400"/>
      <c r="G208" s="400"/>
      <c r="H208" s="400"/>
      <c r="I208" s="319"/>
      <c r="J208" s="319"/>
      <c r="K208" s="319"/>
      <c r="L208" s="319"/>
      <c r="M208" s="319"/>
      <c r="N208" s="319"/>
      <c r="O208" s="319"/>
      <c r="P208" s="319"/>
      <c r="Q208" s="319"/>
      <c r="R208" s="319"/>
      <c r="S208" s="319"/>
      <c r="T208" s="319"/>
      <c r="U208" s="319"/>
      <c r="V208" s="319"/>
      <c r="W208" s="319"/>
      <c r="X208" s="319"/>
      <c r="Y208" s="319"/>
      <c r="Z208" s="319"/>
      <c r="AA208" s="319"/>
      <c r="AB208" s="319"/>
      <c r="AC208" s="319"/>
      <c r="AD208" s="319"/>
      <c r="AE208" s="319"/>
      <c r="AF208" s="319"/>
    </row>
    <row r="209" spans="1:32" ht="21" x14ac:dyDescent="0.35">
      <c r="A209" s="258"/>
      <c r="B209" s="403"/>
      <c r="C209" s="319"/>
      <c r="D209" s="400"/>
      <c r="E209" s="400"/>
      <c r="F209" s="401"/>
      <c r="G209" s="414"/>
      <c r="H209" s="415"/>
      <c r="I209" s="319"/>
      <c r="J209" s="319"/>
      <c r="K209" s="319"/>
      <c r="L209" s="319"/>
      <c r="M209" s="319"/>
      <c r="N209" s="319"/>
      <c r="O209" s="319"/>
      <c r="P209" s="319"/>
      <c r="Q209" s="319"/>
      <c r="R209" s="319"/>
      <c r="S209" s="319"/>
      <c r="T209" s="319"/>
      <c r="U209" s="319"/>
      <c r="V209" s="319"/>
      <c r="W209" s="319"/>
      <c r="X209" s="319"/>
      <c r="Y209" s="319"/>
      <c r="Z209" s="319"/>
      <c r="AA209" s="319"/>
      <c r="AB209" s="319"/>
      <c r="AC209" s="319"/>
      <c r="AD209" s="319"/>
      <c r="AE209" s="319"/>
      <c r="AF209" s="319"/>
    </row>
    <row r="210" spans="1:32" ht="21" x14ac:dyDescent="0.35">
      <c r="A210" s="258"/>
      <c r="B210" s="403"/>
      <c r="C210" s="319"/>
      <c r="D210" s="400"/>
      <c r="E210" s="400"/>
      <c r="F210" s="400"/>
      <c r="G210" s="400"/>
      <c r="H210" s="400"/>
      <c r="I210" s="319"/>
      <c r="J210" s="319"/>
      <c r="K210" s="319"/>
      <c r="L210" s="319"/>
      <c r="M210" s="319"/>
      <c r="N210" s="319"/>
      <c r="O210" s="319"/>
      <c r="P210" s="319"/>
      <c r="Q210" s="319"/>
      <c r="R210" s="319"/>
      <c r="S210" s="319"/>
      <c r="T210" s="319"/>
      <c r="U210" s="319"/>
      <c r="V210" s="319"/>
      <c r="W210" s="319"/>
      <c r="X210" s="319"/>
      <c r="Y210" s="319"/>
      <c r="Z210" s="319"/>
      <c r="AA210" s="319"/>
      <c r="AB210" s="319"/>
      <c r="AC210" s="319"/>
      <c r="AD210" s="319"/>
      <c r="AE210" s="319"/>
      <c r="AF210" s="319"/>
    </row>
    <row r="211" spans="1:32" x14ac:dyDescent="0.25">
      <c r="A211" s="258"/>
      <c r="B211" s="319"/>
      <c r="C211" s="319"/>
      <c r="D211" s="319"/>
      <c r="E211" s="319"/>
      <c r="F211" s="401"/>
      <c r="G211" s="416"/>
      <c r="H211" s="415"/>
      <c r="I211" s="319"/>
      <c r="J211" s="319"/>
      <c r="K211" s="319"/>
      <c r="L211" s="319"/>
      <c r="M211" s="319"/>
      <c r="N211" s="319"/>
      <c r="O211" s="319"/>
      <c r="P211" s="319"/>
      <c r="Q211" s="319"/>
      <c r="R211" s="319"/>
      <c r="S211" s="319"/>
      <c r="T211" s="319"/>
      <c r="U211" s="319"/>
      <c r="V211" s="319"/>
      <c r="W211" s="319"/>
      <c r="X211" s="319"/>
      <c r="Y211" s="319"/>
      <c r="Z211" s="319"/>
      <c r="AA211" s="319"/>
      <c r="AB211" s="319"/>
      <c r="AC211" s="319"/>
      <c r="AD211" s="319"/>
      <c r="AE211" s="319"/>
      <c r="AF211" s="319"/>
    </row>
    <row r="212" spans="1:32" x14ac:dyDescent="0.25">
      <c r="A212" s="258"/>
      <c r="B212" s="319"/>
      <c r="C212" s="319"/>
      <c r="D212" s="319"/>
      <c r="E212" s="319"/>
      <c r="F212" s="319"/>
      <c r="G212" s="319"/>
      <c r="H212" s="417"/>
      <c r="I212" s="319"/>
      <c r="J212" s="407"/>
      <c r="K212" s="408"/>
      <c r="L212" s="409"/>
      <c r="M212" s="319"/>
      <c r="N212" s="319"/>
      <c r="O212" s="319"/>
      <c r="P212" s="319"/>
      <c r="Q212" s="319"/>
      <c r="R212" s="319"/>
      <c r="S212" s="319"/>
      <c r="T212" s="319"/>
      <c r="U212" s="319"/>
      <c r="V212" s="319"/>
      <c r="W212" s="319"/>
      <c r="X212" s="319"/>
      <c r="Y212" s="319"/>
      <c r="Z212" s="319"/>
      <c r="AA212" s="319"/>
      <c r="AB212" s="319"/>
      <c r="AC212" s="319"/>
      <c r="AD212" s="405"/>
      <c r="AE212" s="406"/>
      <c r="AF212" s="319"/>
    </row>
    <row r="213" spans="1:32" x14ac:dyDescent="0.25">
      <c r="A213" s="258"/>
      <c r="B213" s="319"/>
      <c r="C213" s="418"/>
      <c r="D213" s="319"/>
      <c r="E213" s="319"/>
      <c r="F213" s="401"/>
      <c r="G213" s="416"/>
      <c r="H213" s="415"/>
      <c r="I213" s="319"/>
      <c r="J213" s="407"/>
      <c r="K213" s="408"/>
      <c r="L213" s="409"/>
      <c r="M213" s="319"/>
      <c r="N213" s="319"/>
      <c r="O213" s="319"/>
      <c r="P213" s="319"/>
      <c r="Q213" s="319"/>
      <c r="R213" s="319"/>
      <c r="S213" s="319"/>
      <c r="T213" s="319"/>
      <c r="U213" s="319"/>
      <c r="V213" s="319"/>
      <c r="W213" s="319"/>
      <c r="X213" s="319"/>
      <c r="Y213" s="319"/>
      <c r="Z213" s="319"/>
      <c r="AA213" s="319"/>
      <c r="AB213" s="319"/>
      <c r="AC213" s="319"/>
      <c r="AD213" s="405"/>
      <c r="AE213" s="406"/>
      <c r="AF213" s="319"/>
    </row>
    <row r="214" spans="1:32" x14ac:dyDescent="0.25">
      <c r="A214" s="258"/>
      <c r="B214" s="319"/>
      <c r="C214" s="319"/>
      <c r="D214" s="319"/>
      <c r="E214" s="319"/>
      <c r="F214" s="319"/>
      <c r="G214" s="416"/>
      <c r="H214" s="415"/>
      <c r="I214" s="319"/>
      <c r="J214" s="407"/>
      <c r="K214" s="408"/>
      <c r="L214" s="409"/>
      <c r="M214" s="319"/>
      <c r="N214" s="319"/>
      <c r="O214" s="319"/>
      <c r="P214" s="319"/>
      <c r="Q214" s="319"/>
      <c r="R214" s="319"/>
      <c r="S214" s="319"/>
      <c r="T214" s="319"/>
      <c r="U214" s="319"/>
      <c r="V214" s="319"/>
      <c r="W214" s="319"/>
      <c r="X214" s="319"/>
      <c r="Y214" s="319"/>
      <c r="Z214" s="319"/>
      <c r="AA214" s="319"/>
      <c r="AB214" s="319"/>
      <c r="AC214" s="319"/>
      <c r="AD214" s="405"/>
      <c r="AE214" s="406"/>
      <c r="AF214" s="319"/>
    </row>
    <row r="215" spans="1:32" x14ac:dyDescent="0.25">
      <c r="A215" s="258"/>
      <c r="B215" s="319"/>
      <c r="C215" s="319"/>
      <c r="D215" s="319"/>
      <c r="E215" s="319"/>
      <c r="F215" s="401"/>
      <c r="G215" s="416"/>
      <c r="H215" s="415"/>
      <c r="I215" s="319"/>
      <c r="J215" s="407"/>
      <c r="K215" s="408"/>
      <c r="L215" s="409"/>
      <c r="M215" s="319"/>
      <c r="N215" s="319"/>
      <c r="O215" s="319"/>
      <c r="P215" s="319"/>
      <c r="Q215" s="319"/>
      <c r="R215" s="319"/>
      <c r="S215" s="319"/>
      <c r="T215" s="319"/>
      <c r="U215" s="319"/>
      <c r="V215" s="319"/>
      <c r="W215" s="319"/>
      <c r="X215" s="319"/>
      <c r="Y215" s="319"/>
      <c r="Z215" s="319"/>
      <c r="AA215" s="319"/>
      <c r="AB215" s="319"/>
      <c r="AC215" s="319"/>
      <c r="AD215" s="405"/>
      <c r="AE215" s="406"/>
      <c r="AF215" s="319"/>
    </row>
    <row r="216" spans="1:32" x14ac:dyDescent="0.25">
      <c r="A216" s="258"/>
      <c r="B216" s="319"/>
      <c r="C216" s="319"/>
      <c r="D216" s="319"/>
      <c r="E216" s="319"/>
      <c r="F216" s="319"/>
      <c r="G216" s="416"/>
      <c r="H216" s="415"/>
      <c r="I216" s="319"/>
      <c r="J216" s="407"/>
      <c r="K216" s="408"/>
      <c r="L216" s="409"/>
      <c r="M216" s="319"/>
      <c r="N216" s="319"/>
      <c r="O216" s="319"/>
      <c r="P216" s="319"/>
      <c r="Q216" s="319"/>
      <c r="R216" s="319"/>
      <c r="S216" s="319"/>
      <c r="T216" s="319"/>
      <c r="U216" s="319"/>
      <c r="V216" s="319"/>
      <c r="W216" s="319"/>
      <c r="X216" s="319"/>
      <c r="Y216" s="319"/>
      <c r="Z216" s="319"/>
      <c r="AA216" s="319"/>
      <c r="AB216" s="319"/>
      <c r="AC216" s="319"/>
      <c r="AD216" s="405"/>
      <c r="AE216" s="406"/>
      <c r="AF216" s="319"/>
    </row>
    <row r="217" spans="1:32" x14ac:dyDescent="0.25">
      <c r="A217" s="258"/>
      <c r="B217" s="319"/>
      <c r="C217" s="319"/>
      <c r="D217" s="319"/>
      <c r="E217" s="71"/>
      <c r="F217" s="401"/>
      <c r="G217" s="416"/>
      <c r="H217" s="415"/>
      <c r="I217" s="319"/>
      <c r="J217" s="407"/>
      <c r="K217" s="408"/>
      <c r="L217" s="409"/>
      <c r="M217" s="319"/>
      <c r="N217" s="319"/>
      <c r="O217" s="319"/>
      <c r="P217" s="319"/>
      <c r="Q217" s="319"/>
      <c r="R217" s="319"/>
      <c r="S217" s="319"/>
      <c r="T217" s="319"/>
      <c r="U217" s="319"/>
      <c r="V217" s="319"/>
      <c r="W217" s="319"/>
      <c r="X217" s="319"/>
      <c r="Y217" s="319"/>
      <c r="Z217" s="319"/>
      <c r="AA217" s="319"/>
      <c r="AB217" s="319"/>
      <c r="AC217" s="319"/>
      <c r="AD217" s="405"/>
      <c r="AE217" s="406"/>
      <c r="AF217" s="319"/>
    </row>
    <row r="218" spans="1:32" x14ac:dyDescent="0.25">
      <c r="A218" s="258"/>
      <c r="B218" s="319"/>
      <c r="C218" s="319"/>
      <c r="D218" s="319"/>
      <c r="E218" s="319"/>
      <c r="F218" s="319"/>
      <c r="G218" s="319"/>
      <c r="H218" s="319"/>
      <c r="I218" s="319"/>
      <c r="J218" s="407"/>
      <c r="K218" s="408"/>
      <c r="L218" s="409"/>
      <c r="M218" s="319"/>
      <c r="N218" s="319"/>
      <c r="O218" s="319"/>
      <c r="P218" s="319"/>
      <c r="Q218" s="319"/>
      <c r="R218" s="319"/>
      <c r="S218" s="319"/>
      <c r="T218" s="319"/>
      <c r="U218" s="319"/>
      <c r="V218" s="319"/>
      <c r="W218" s="319"/>
      <c r="X218" s="319"/>
      <c r="Y218" s="319"/>
      <c r="Z218" s="319"/>
      <c r="AA218" s="319"/>
      <c r="AB218" s="319"/>
      <c r="AC218" s="319"/>
      <c r="AD218" s="405"/>
      <c r="AE218" s="406"/>
      <c r="AF218" s="319"/>
    </row>
    <row r="219" spans="1:32" x14ac:dyDescent="0.25">
      <c r="A219" s="258"/>
      <c r="B219" s="319"/>
      <c r="C219" s="419"/>
      <c r="D219" s="319"/>
      <c r="E219" s="319"/>
      <c r="F219" s="401"/>
      <c r="G219" s="420"/>
      <c r="H219" s="411"/>
      <c r="I219" s="319"/>
      <c r="J219" s="407"/>
      <c r="K219" s="408"/>
      <c r="L219" s="409"/>
      <c r="M219" s="319"/>
      <c r="N219" s="319"/>
      <c r="O219" s="319"/>
      <c r="P219" s="319"/>
      <c r="Q219" s="319"/>
      <c r="R219" s="319"/>
      <c r="S219" s="319"/>
      <c r="T219" s="319"/>
      <c r="U219" s="319"/>
      <c r="V219" s="319"/>
      <c r="W219" s="319"/>
      <c r="X219" s="319"/>
      <c r="Y219" s="319"/>
      <c r="Z219" s="319"/>
      <c r="AA219" s="319"/>
      <c r="AB219" s="319"/>
      <c r="AC219" s="319"/>
      <c r="AD219" s="405"/>
      <c r="AE219" s="406"/>
      <c r="AF219" s="319"/>
    </row>
    <row r="220" spans="1:32" x14ac:dyDescent="0.25">
      <c r="A220" s="258"/>
      <c r="B220" s="319"/>
      <c r="C220" s="319"/>
      <c r="D220" s="319"/>
      <c r="E220" s="319"/>
      <c r="F220" s="320"/>
      <c r="G220" s="416"/>
      <c r="H220" s="319"/>
      <c r="I220" s="319"/>
      <c r="J220" s="407"/>
      <c r="K220" s="408"/>
      <c r="L220" s="409"/>
      <c r="M220" s="319"/>
      <c r="N220" s="319"/>
      <c r="O220" s="319"/>
      <c r="P220" s="319"/>
      <c r="Q220" s="319"/>
      <c r="R220" s="319"/>
      <c r="S220" s="319"/>
      <c r="T220" s="319"/>
      <c r="U220" s="319"/>
      <c r="V220" s="319"/>
      <c r="W220" s="319"/>
      <c r="X220" s="319"/>
      <c r="Y220" s="319"/>
      <c r="Z220" s="319"/>
      <c r="AA220" s="319"/>
      <c r="AB220" s="319"/>
      <c r="AC220" s="319"/>
      <c r="AD220" s="405"/>
      <c r="AE220" s="406"/>
      <c r="AF220" s="319"/>
    </row>
    <row r="221" spans="1:32" x14ac:dyDescent="0.25">
      <c r="A221" s="258"/>
      <c r="B221" s="319"/>
      <c r="C221" s="319"/>
      <c r="D221" s="319"/>
      <c r="E221" s="319"/>
      <c r="F221" s="320"/>
      <c r="G221" s="319"/>
      <c r="H221" s="411"/>
      <c r="I221" s="319"/>
      <c r="J221" s="407"/>
      <c r="K221" s="408"/>
      <c r="L221" s="409"/>
      <c r="M221" s="319"/>
      <c r="N221" s="319"/>
      <c r="O221" s="319"/>
      <c r="P221" s="319"/>
      <c r="Q221" s="319"/>
      <c r="R221" s="319"/>
      <c r="S221" s="319"/>
      <c r="T221" s="319"/>
      <c r="U221" s="319"/>
      <c r="V221" s="319"/>
      <c r="W221" s="319"/>
      <c r="X221" s="319"/>
      <c r="Y221" s="319"/>
      <c r="Z221" s="319"/>
      <c r="AA221" s="319"/>
      <c r="AB221" s="319"/>
      <c r="AC221" s="319"/>
      <c r="AD221" s="405"/>
      <c r="AE221" s="406"/>
      <c r="AF221" s="319"/>
    </row>
    <row r="222" spans="1:32" x14ac:dyDescent="0.25">
      <c r="A222" s="258"/>
      <c r="B222" s="319"/>
      <c r="C222" s="319"/>
      <c r="D222" s="319"/>
      <c r="E222" s="319"/>
      <c r="F222" s="320"/>
      <c r="G222" s="402"/>
      <c r="H222" s="411"/>
      <c r="I222" s="319"/>
      <c r="J222" s="319"/>
      <c r="K222" s="408"/>
      <c r="L222" s="409"/>
      <c r="M222" s="319"/>
      <c r="N222" s="319"/>
      <c r="O222" s="319"/>
      <c r="P222" s="319"/>
      <c r="Q222" s="319"/>
      <c r="R222" s="319"/>
      <c r="S222" s="319"/>
      <c r="T222" s="319"/>
      <c r="U222" s="319"/>
      <c r="V222" s="319"/>
      <c r="W222" s="319"/>
      <c r="X222" s="319"/>
      <c r="Y222" s="319"/>
      <c r="Z222" s="319"/>
      <c r="AA222" s="319"/>
      <c r="AB222" s="319"/>
      <c r="AC222" s="319"/>
      <c r="AD222" s="405"/>
      <c r="AE222" s="406"/>
      <c r="AF222" s="319"/>
    </row>
    <row r="223" spans="1:32" x14ac:dyDescent="0.25">
      <c r="A223" s="258"/>
      <c r="B223" s="319"/>
      <c r="C223" s="319"/>
      <c r="D223" s="319"/>
      <c r="E223" s="319"/>
      <c r="F223" s="320"/>
      <c r="G223" s="421"/>
      <c r="H223" s="411"/>
      <c r="I223" s="319"/>
      <c r="J223" s="319"/>
      <c r="K223" s="319"/>
      <c r="L223" s="319"/>
      <c r="M223" s="319"/>
      <c r="N223" s="319"/>
      <c r="O223" s="319"/>
      <c r="P223" s="319"/>
      <c r="Q223" s="319"/>
      <c r="R223" s="319"/>
      <c r="S223" s="319"/>
      <c r="T223" s="319"/>
      <c r="U223" s="319"/>
      <c r="V223" s="319"/>
      <c r="W223" s="319"/>
      <c r="X223" s="319"/>
      <c r="Y223" s="319"/>
      <c r="Z223" s="319"/>
      <c r="AA223" s="319"/>
      <c r="AB223" s="319"/>
      <c r="AC223" s="319"/>
      <c r="AD223" s="319"/>
      <c r="AE223" s="319"/>
      <c r="AF223" s="319"/>
    </row>
    <row r="224" spans="1:32" ht="18" customHeight="1" x14ac:dyDescent="0.25">
      <c r="A224" s="258"/>
      <c r="B224" s="319"/>
      <c r="C224" s="319"/>
      <c r="D224" s="319"/>
      <c r="E224" s="319"/>
      <c r="F224" s="320"/>
      <c r="G224" s="402"/>
      <c r="H224" s="411"/>
      <c r="I224" s="319"/>
      <c r="J224" s="319"/>
      <c r="K224" s="319"/>
      <c r="L224" s="319"/>
      <c r="M224" s="319"/>
      <c r="N224" s="319"/>
      <c r="O224" s="319"/>
      <c r="P224" s="319"/>
      <c r="Q224" s="319"/>
      <c r="R224" s="319"/>
      <c r="S224" s="319"/>
      <c r="T224" s="319"/>
      <c r="U224" s="319"/>
      <c r="V224" s="319"/>
      <c r="W224" s="319"/>
      <c r="X224" s="319"/>
      <c r="Y224" s="319"/>
      <c r="Z224" s="319"/>
      <c r="AA224" s="319"/>
      <c r="AB224" s="319"/>
      <c r="AC224" s="319"/>
      <c r="AD224" s="319"/>
      <c r="AE224" s="319"/>
      <c r="AF224" s="319"/>
    </row>
    <row r="225" spans="1:32" ht="18" customHeight="1" x14ac:dyDescent="0.25">
      <c r="A225" s="258"/>
      <c r="B225" s="319"/>
      <c r="C225" s="319"/>
      <c r="D225" s="319"/>
      <c r="E225" s="319"/>
      <c r="F225" s="320"/>
      <c r="G225" s="411"/>
      <c r="H225" s="411"/>
      <c r="I225" s="319"/>
      <c r="J225" s="319"/>
      <c r="K225" s="319"/>
      <c r="L225" s="319"/>
      <c r="M225" s="319"/>
      <c r="N225" s="319"/>
      <c r="O225" s="319"/>
      <c r="P225" s="319"/>
      <c r="Q225" s="319"/>
      <c r="R225" s="319"/>
      <c r="S225" s="319"/>
      <c r="T225" s="319"/>
      <c r="U225" s="319"/>
      <c r="V225" s="319"/>
      <c r="W225" s="319"/>
      <c r="X225" s="319"/>
      <c r="Y225" s="319"/>
      <c r="Z225" s="319"/>
      <c r="AA225" s="319"/>
      <c r="AB225" s="319"/>
      <c r="AC225" s="319"/>
      <c r="AD225" s="319"/>
      <c r="AE225" s="319"/>
      <c r="AF225" s="319"/>
    </row>
    <row r="226" spans="1:32" ht="18" customHeight="1" x14ac:dyDescent="0.25">
      <c r="A226" s="258"/>
      <c r="B226" s="319"/>
      <c r="C226" s="319"/>
      <c r="D226" s="319"/>
      <c r="E226" s="319"/>
      <c r="F226" s="320"/>
      <c r="G226" s="408"/>
      <c r="H226" s="411"/>
      <c r="I226" s="319"/>
      <c r="J226" s="319"/>
      <c r="K226" s="319"/>
      <c r="L226" s="319"/>
      <c r="M226" s="319"/>
      <c r="N226" s="319"/>
      <c r="O226" s="319"/>
      <c r="P226" s="319"/>
      <c r="Q226" s="319"/>
      <c r="R226" s="319"/>
      <c r="S226" s="319"/>
      <c r="T226" s="319"/>
      <c r="U226" s="319"/>
      <c r="V226" s="319"/>
      <c r="W226" s="319"/>
      <c r="X226" s="319"/>
      <c r="Y226" s="319"/>
      <c r="Z226" s="319"/>
      <c r="AA226" s="319"/>
      <c r="AB226" s="319"/>
      <c r="AC226" s="319"/>
      <c r="AD226" s="319"/>
      <c r="AE226" s="319"/>
      <c r="AF226" s="319"/>
    </row>
    <row r="227" spans="1:32" x14ac:dyDescent="0.25">
      <c r="A227" s="258"/>
      <c r="B227" s="319"/>
      <c r="C227" s="319"/>
      <c r="D227" s="319"/>
      <c r="E227" s="319"/>
      <c r="F227" s="320"/>
      <c r="G227" s="408"/>
      <c r="H227" s="411"/>
      <c r="I227" s="319"/>
      <c r="J227" s="319"/>
      <c r="K227" s="319"/>
      <c r="L227" s="319"/>
      <c r="M227" s="319"/>
      <c r="N227" s="319"/>
      <c r="O227" s="319"/>
      <c r="P227" s="319"/>
      <c r="Q227" s="319"/>
      <c r="R227" s="319"/>
      <c r="S227" s="319"/>
      <c r="T227" s="319"/>
      <c r="U227" s="319"/>
      <c r="V227" s="319"/>
      <c r="W227" s="319"/>
      <c r="X227" s="319"/>
      <c r="Y227" s="319"/>
      <c r="Z227" s="319"/>
      <c r="AA227" s="319"/>
      <c r="AB227" s="319"/>
      <c r="AC227" s="319"/>
      <c r="AD227" s="319"/>
      <c r="AE227" s="319"/>
      <c r="AF227" s="319"/>
    </row>
    <row r="228" spans="1:32" s="362" customFormat="1" x14ac:dyDescent="0.25">
      <c r="A228" s="319"/>
      <c r="B228" s="319"/>
      <c r="C228" s="319"/>
      <c r="D228" s="319"/>
      <c r="E228" s="319"/>
      <c r="F228" s="320"/>
      <c r="G228" s="408"/>
      <c r="H228" s="411"/>
      <c r="I228" s="319"/>
      <c r="J228" s="319"/>
      <c r="K228" s="319"/>
      <c r="L228" s="319"/>
      <c r="M228" s="319"/>
      <c r="N228" s="319"/>
      <c r="O228" s="319"/>
      <c r="P228" s="319"/>
      <c r="Q228" s="319"/>
      <c r="R228" s="319"/>
      <c r="S228" s="319"/>
      <c r="T228" s="319"/>
      <c r="U228" s="319"/>
      <c r="V228" s="319"/>
      <c r="W228" s="319"/>
      <c r="X228" s="319"/>
      <c r="Y228" s="319"/>
      <c r="Z228" s="319"/>
      <c r="AA228" s="319"/>
      <c r="AB228" s="319"/>
      <c r="AC228" s="319"/>
      <c r="AD228" s="319"/>
      <c r="AE228" s="319"/>
      <c r="AF228" s="319"/>
    </row>
    <row r="229" spans="1:32" ht="21" x14ac:dyDescent="0.35">
      <c r="A229" s="258"/>
      <c r="B229" s="403"/>
      <c r="C229" s="319"/>
      <c r="D229" s="515"/>
      <c r="E229" s="515"/>
      <c r="F229" s="515"/>
      <c r="G229" s="412"/>
      <c r="H229" s="413"/>
      <c r="I229" s="319"/>
      <c r="J229" s="319"/>
      <c r="K229" s="319"/>
      <c r="L229" s="319"/>
      <c r="M229" s="319"/>
      <c r="N229" s="319"/>
      <c r="O229" s="319"/>
      <c r="P229" s="319"/>
      <c r="Q229" s="319"/>
      <c r="R229" s="319"/>
      <c r="S229" s="319"/>
      <c r="T229" s="319"/>
      <c r="U229" s="319"/>
      <c r="V229" s="319"/>
      <c r="W229" s="319"/>
      <c r="X229" s="319"/>
      <c r="Y229" s="319"/>
      <c r="Z229" s="319"/>
      <c r="AA229" s="319"/>
      <c r="AB229" s="319"/>
      <c r="AC229" s="319"/>
      <c r="AD229" s="319"/>
      <c r="AE229" s="319"/>
      <c r="AF229" s="319"/>
    </row>
    <row r="230" spans="1:32" ht="21" x14ac:dyDescent="0.35">
      <c r="A230" s="258"/>
      <c r="B230" s="403"/>
      <c r="C230" s="319"/>
      <c r="D230" s="400"/>
      <c r="E230" s="400"/>
      <c r="F230" s="400"/>
      <c r="G230" s="400"/>
      <c r="H230" s="400"/>
      <c r="I230" s="319"/>
      <c r="J230" s="319"/>
      <c r="K230" s="319"/>
      <c r="L230" s="319"/>
      <c r="M230" s="319"/>
      <c r="N230" s="319"/>
      <c r="O230" s="319"/>
      <c r="P230" s="319"/>
      <c r="Q230" s="319"/>
      <c r="R230" s="319"/>
      <c r="S230" s="319"/>
      <c r="T230" s="319"/>
      <c r="U230" s="319"/>
      <c r="V230" s="319"/>
      <c r="W230" s="319"/>
      <c r="X230" s="319"/>
      <c r="Y230" s="319"/>
      <c r="Z230" s="319"/>
      <c r="AA230" s="319"/>
      <c r="AB230" s="319"/>
      <c r="AC230" s="319"/>
      <c r="AD230" s="319"/>
      <c r="AE230" s="319"/>
      <c r="AF230" s="319"/>
    </row>
    <row r="231" spans="1:32" ht="21" x14ac:dyDescent="0.35">
      <c r="A231" s="258"/>
      <c r="B231" s="403"/>
      <c r="C231" s="319"/>
      <c r="D231" s="400"/>
      <c r="E231" s="400"/>
      <c r="F231" s="401"/>
      <c r="G231" s="414"/>
      <c r="H231" s="415"/>
      <c r="I231" s="319"/>
      <c r="J231" s="319"/>
      <c r="K231" s="319"/>
      <c r="L231" s="319"/>
      <c r="M231" s="319"/>
      <c r="N231" s="319"/>
      <c r="O231" s="319"/>
      <c r="P231" s="319"/>
      <c r="Q231" s="319"/>
      <c r="R231" s="319"/>
      <c r="S231" s="319"/>
      <c r="T231" s="319"/>
      <c r="U231" s="319"/>
      <c r="V231" s="319"/>
      <c r="W231" s="319"/>
      <c r="X231" s="319"/>
      <c r="Y231" s="319"/>
      <c r="Z231" s="319"/>
      <c r="AA231" s="319"/>
      <c r="AB231" s="319"/>
      <c r="AC231" s="319"/>
      <c r="AD231" s="319"/>
      <c r="AE231" s="319"/>
      <c r="AF231" s="319"/>
    </row>
    <row r="232" spans="1:32" ht="21" x14ac:dyDescent="0.35">
      <c r="A232" s="258"/>
      <c r="B232" s="403"/>
      <c r="C232" s="319"/>
      <c r="D232" s="400"/>
      <c r="E232" s="400"/>
      <c r="F232" s="400"/>
      <c r="G232" s="400"/>
      <c r="H232" s="400"/>
      <c r="I232" s="319"/>
      <c r="J232" s="319"/>
      <c r="K232" s="319"/>
      <c r="L232" s="319"/>
      <c r="M232" s="319"/>
      <c r="N232" s="319"/>
      <c r="O232" s="319"/>
      <c r="P232" s="319"/>
      <c r="Q232" s="319"/>
      <c r="R232" s="319"/>
      <c r="S232" s="319"/>
      <c r="T232" s="319"/>
      <c r="U232" s="319"/>
      <c r="V232" s="319"/>
      <c r="W232" s="319"/>
      <c r="X232" s="319"/>
      <c r="Y232" s="319"/>
      <c r="Z232" s="319"/>
      <c r="AA232" s="319"/>
      <c r="AB232" s="319"/>
      <c r="AC232" s="319"/>
      <c r="AD232" s="319"/>
      <c r="AE232" s="319"/>
      <c r="AF232" s="319"/>
    </row>
    <row r="233" spans="1:32" x14ac:dyDescent="0.25">
      <c r="A233" s="258"/>
      <c r="B233" s="319"/>
      <c r="C233" s="319"/>
      <c r="D233" s="319"/>
      <c r="E233" s="319"/>
      <c r="F233" s="401"/>
      <c r="G233" s="416"/>
      <c r="H233" s="415"/>
      <c r="I233" s="319"/>
      <c r="J233" s="319"/>
      <c r="K233" s="319"/>
      <c r="L233" s="319"/>
      <c r="M233" s="319"/>
      <c r="N233" s="319"/>
      <c r="O233" s="319"/>
      <c r="P233" s="319"/>
      <c r="Q233" s="319"/>
      <c r="R233" s="319"/>
      <c r="S233" s="319"/>
      <c r="T233" s="319"/>
      <c r="U233" s="319"/>
      <c r="V233" s="319"/>
      <c r="W233" s="319"/>
      <c r="X233" s="319"/>
      <c r="Y233" s="319"/>
      <c r="Z233" s="319"/>
      <c r="AA233" s="319"/>
      <c r="AB233" s="319"/>
      <c r="AC233" s="319"/>
      <c r="AD233" s="319"/>
      <c r="AE233" s="319"/>
      <c r="AF233" s="319"/>
    </row>
    <row r="234" spans="1:32" x14ac:dyDescent="0.25">
      <c r="A234" s="258"/>
      <c r="B234" s="319"/>
      <c r="C234" s="319"/>
      <c r="D234" s="319"/>
      <c r="E234" s="319"/>
      <c r="F234" s="319"/>
      <c r="G234" s="319"/>
      <c r="H234" s="417"/>
      <c r="I234" s="319"/>
      <c r="J234" s="407"/>
      <c r="K234" s="408"/>
      <c r="L234" s="409"/>
      <c r="M234" s="319"/>
      <c r="N234" s="319"/>
      <c r="O234" s="319"/>
      <c r="P234" s="319"/>
      <c r="Q234" s="319"/>
      <c r="R234" s="319"/>
      <c r="S234" s="319"/>
      <c r="T234" s="319"/>
      <c r="U234" s="319"/>
      <c r="V234" s="319"/>
      <c r="W234" s="319"/>
      <c r="X234" s="319"/>
      <c r="Y234" s="319"/>
      <c r="Z234" s="319"/>
      <c r="AA234" s="319"/>
      <c r="AB234" s="319"/>
      <c r="AC234" s="319"/>
      <c r="AD234" s="405"/>
      <c r="AE234" s="406"/>
      <c r="AF234" s="319"/>
    </row>
    <row r="235" spans="1:32" x14ac:dyDescent="0.25">
      <c r="A235" s="258"/>
      <c r="B235" s="319"/>
      <c r="C235" s="418"/>
      <c r="D235" s="319"/>
      <c r="E235" s="319"/>
      <c r="F235" s="401"/>
      <c r="G235" s="416"/>
      <c r="H235" s="415"/>
      <c r="I235" s="319"/>
      <c r="J235" s="407"/>
      <c r="K235" s="408"/>
      <c r="L235" s="409"/>
      <c r="M235" s="319"/>
      <c r="N235" s="319"/>
      <c r="O235" s="319"/>
      <c r="P235" s="319"/>
      <c r="Q235" s="319"/>
      <c r="R235" s="319"/>
      <c r="S235" s="319"/>
      <c r="T235" s="319"/>
      <c r="U235" s="319"/>
      <c r="V235" s="319"/>
      <c r="W235" s="319"/>
      <c r="X235" s="319"/>
      <c r="Y235" s="319"/>
      <c r="Z235" s="319"/>
      <c r="AA235" s="319"/>
      <c r="AB235" s="319"/>
      <c r="AC235" s="319"/>
      <c r="AD235" s="405"/>
      <c r="AE235" s="406"/>
      <c r="AF235" s="319"/>
    </row>
    <row r="236" spans="1:32" x14ac:dyDescent="0.25">
      <c r="A236" s="258"/>
      <c r="B236" s="319"/>
      <c r="C236" s="319"/>
      <c r="D236" s="319"/>
      <c r="E236" s="319"/>
      <c r="F236" s="319"/>
      <c r="G236" s="416"/>
      <c r="H236" s="415"/>
      <c r="I236" s="319"/>
      <c r="J236" s="407"/>
      <c r="K236" s="408"/>
      <c r="L236" s="409"/>
      <c r="M236" s="319"/>
      <c r="N236" s="319"/>
      <c r="O236" s="319"/>
      <c r="P236" s="319"/>
      <c r="Q236" s="319"/>
      <c r="R236" s="319"/>
      <c r="S236" s="319"/>
      <c r="T236" s="319"/>
      <c r="U236" s="319"/>
      <c r="V236" s="319"/>
      <c r="W236" s="319"/>
      <c r="X236" s="319"/>
      <c r="Y236" s="319"/>
      <c r="Z236" s="319"/>
      <c r="AA236" s="319"/>
      <c r="AB236" s="319"/>
      <c r="AC236" s="319"/>
      <c r="AD236" s="405"/>
      <c r="AE236" s="406"/>
      <c r="AF236" s="319"/>
    </row>
    <row r="237" spans="1:32" x14ac:dyDescent="0.25">
      <c r="A237" s="258"/>
      <c r="B237" s="319"/>
      <c r="C237" s="319"/>
      <c r="D237" s="319"/>
      <c r="E237" s="319"/>
      <c r="F237" s="401"/>
      <c r="G237" s="416"/>
      <c r="H237" s="415"/>
      <c r="I237" s="319"/>
      <c r="J237" s="407"/>
      <c r="K237" s="408"/>
      <c r="L237" s="409"/>
      <c r="M237" s="319"/>
      <c r="N237" s="319"/>
      <c r="O237" s="319"/>
      <c r="P237" s="319"/>
      <c r="Q237" s="319"/>
      <c r="R237" s="319"/>
      <c r="S237" s="319"/>
      <c r="T237" s="319"/>
      <c r="U237" s="319"/>
      <c r="V237" s="319"/>
      <c r="W237" s="319"/>
      <c r="X237" s="319"/>
      <c r="Y237" s="319"/>
      <c r="Z237" s="319"/>
      <c r="AA237" s="319"/>
      <c r="AB237" s="319"/>
      <c r="AC237" s="319"/>
      <c r="AD237" s="405"/>
      <c r="AE237" s="406"/>
      <c r="AF237" s="319"/>
    </row>
    <row r="238" spans="1:32" x14ac:dyDescent="0.25">
      <c r="A238" s="258"/>
      <c r="B238" s="319"/>
      <c r="C238" s="319"/>
      <c r="D238" s="319"/>
      <c r="E238" s="319"/>
      <c r="F238" s="319"/>
      <c r="G238" s="416"/>
      <c r="H238" s="415"/>
      <c r="I238" s="319"/>
      <c r="J238" s="407"/>
      <c r="K238" s="408"/>
      <c r="L238" s="409"/>
      <c r="M238" s="319"/>
      <c r="N238" s="319"/>
      <c r="O238" s="319"/>
      <c r="P238" s="319"/>
      <c r="Q238" s="319"/>
      <c r="R238" s="319"/>
      <c r="S238" s="319"/>
      <c r="T238" s="319"/>
      <c r="U238" s="319"/>
      <c r="V238" s="319"/>
      <c r="W238" s="319"/>
      <c r="X238" s="319"/>
      <c r="Y238" s="319"/>
      <c r="Z238" s="319"/>
      <c r="AA238" s="319"/>
      <c r="AB238" s="319"/>
      <c r="AC238" s="319"/>
      <c r="AD238" s="405"/>
      <c r="AE238" s="406"/>
      <c r="AF238" s="319"/>
    </row>
    <row r="239" spans="1:32" x14ac:dyDescent="0.25">
      <c r="A239" s="258"/>
      <c r="B239" s="319"/>
      <c r="C239" s="319"/>
      <c r="D239" s="319"/>
      <c r="E239" s="71"/>
      <c r="F239" s="401"/>
      <c r="G239" s="416"/>
      <c r="H239" s="415"/>
      <c r="I239" s="319"/>
      <c r="J239" s="407"/>
      <c r="K239" s="408"/>
      <c r="L239" s="409"/>
      <c r="M239" s="319"/>
      <c r="N239" s="319"/>
      <c r="O239" s="319"/>
      <c r="P239" s="319"/>
      <c r="Q239" s="319"/>
      <c r="R239" s="319"/>
      <c r="S239" s="319"/>
      <c r="T239" s="319"/>
      <c r="U239" s="319"/>
      <c r="V239" s="319"/>
      <c r="W239" s="319"/>
      <c r="X239" s="319"/>
      <c r="Y239" s="319"/>
      <c r="Z239" s="319"/>
      <c r="AA239" s="319" t="b">
        <v>1</v>
      </c>
      <c r="AB239" s="319"/>
      <c r="AC239" s="319"/>
      <c r="AD239" s="405"/>
      <c r="AE239" s="406"/>
      <c r="AF239" s="319"/>
    </row>
    <row r="240" spans="1:32" x14ac:dyDescent="0.25">
      <c r="A240" s="258"/>
      <c r="B240" s="319"/>
      <c r="C240" s="319"/>
      <c r="D240" s="319"/>
      <c r="E240" s="319"/>
      <c r="F240" s="319"/>
      <c r="G240" s="319"/>
      <c r="H240" s="319"/>
      <c r="I240" s="319"/>
      <c r="J240" s="407"/>
      <c r="K240" s="408"/>
      <c r="L240" s="409"/>
      <c r="M240" s="319"/>
      <c r="N240" s="319"/>
      <c r="O240" s="319"/>
      <c r="P240" s="319"/>
      <c r="Q240" s="319"/>
      <c r="R240" s="319"/>
      <c r="S240" s="319"/>
      <c r="T240" s="319"/>
      <c r="U240" s="319"/>
      <c r="V240" s="319"/>
      <c r="W240" s="319"/>
      <c r="X240" s="319"/>
      <c r="Y240" s="319"/>
      <c r="Z240" s="319"/>
      <c r="AA240" s="319"/>
      <c r="AB240" s="319"/>
      <c r="AC240" s="319"/>
      <c r="AD240" s="405"/>
      <c r="AE240" s="406"/>
      <c r="AF240" s="319"/>
    </row>
    <row r="241" spans="1:32" x14ac:dyDescent="0.25">
      <c r="A241" s="258"/>
      <c r="B241" s="319"/>
      <c r="C241" s="419"/>
      <c r="D241" s="319"/>
      <c r="E241" s="319"/>
      <c r="F241" s="401"/>
      <c r="G241" s="420"/>
      <c r="H241" s="411"/>
      <c r="I241" s="319"/>
      <c r="J241" s="407"/>
      <c r="K241" s="408"/>
      <c r="L241" s="409"/>
      <c r="M241" s="319"/>
      <c r="N241" s="319"/>
      <c r="O241" s="319"/>
      <c r="P241" s="319"/>
      <c r="Q241" s="319"/>
      <c r="R241" s="319"/>
      <c r="S241" s="319"/>
      <c r="T241" s="319"/>
      <c r="U241" s="319"/>
      <c r="V241" s="319"/>
      <c r="W241" s="319"/>
      <c r="X241" s="319"/>
      <c r="Y241" s="319"/>
      <c r="Z241" s="319"/>
      <c r="AA241" s="319"/>
      <c r="AB241" s="319"/>
      <c r="AC241" s="319"/>
      <c r="AD241" s="405"/>
      <c r="AE241" s="406"/>
      <c r="AF241" s="319"/>
    </row>
    <row r="242" spans="1:32" x14ac:dyDescent="0.25">
      <c r="A242" s="258"/>
      <c r="B242" s="319"/>
      <c r="C242" s="319"/>
      <c r="D242" s="319"/>
      <c r="E242" s="319"/>
      <c r="F242" s="320"/>
      <c r="G242" s="416"/>
      <c r="H242" s="319"/>
      <c r="I242" s="319"/>
      <c r="J242" s="407"/>
      <c r="K242" s="408"/>
      <c r="L242" s="409"/>
      <c r="M242" s="319"/>
      <c r="N242" s="319"/>
      <c r="O242" s="319"/>
      <c r="P242" s="319"/>
      <c r="Q242" s="319"/>
      <c r="R242" s="319"/>
      <c r="S242" s="319"/>
      <c r="T242" s="319"/>
      <c r="U242" s="319"/>
      <c r="V242" s="319"/>
      <c r="W242" s="319"/>
      <c r="X242" s="319"/>
      <c r="Y242" s="319"/>
      <c r="Z242" s="319"/>
      <c r="AA242" s="319"/>
      <c r="AB242" s="319"/>
      <c r="AC242" s="319"/>
      <c r="AD242" s="405"/>
      <c r="AE242" s="406"/>
      <c r="AF242" s="319"/>
    </row>
    <row r="243" spans="1:32" x14ac:dyDescent="0.25">
      <c r="A243" s="258"/>
      <c r="B243" s="319"/>
      <c r="C243" s="319"/>
      <c r="D243" s="319"/>
      <c r="E243" s="319"/>
      <c r="F243" s="320"/>
      <c r="G243" s="319"/>
      <c r="H243" s="411"/>
      <c r="I243" s="319"/>
      <c r="J243" s="407"/>
      <c r="K243" s="408"/>
      <c r="L243" s="409"/>
      <c r="M243" s="319"/>
      <c r="N243" s="319"/>
      <c r="O243" s="319"/>
      <c r="P243" s="319"/>
      <c r="Q243" s="319"/>
      <c r="R243" s="319"/>
      <c r="S243" s="319"/>
      <c r="T243" s="319"/>
      <c r="U243" s="319"/>
      <c r="V243" s="319"/>
      <c r="W243" s="319"/>
      <c r="X243" s="319"/>
      <c r="Y243" s="319"/>
      <c r="Z243" s="319"/>
      <c r="AA243" s="319"/>
      <c r="AB243" s="319"/>
      <c r="AC243" s="319"/>
      <c r="AD243" s="405"/>
      <c r="AE243" s="406"/>
      <c r="AF243" s="319"/>
    </row>
    <row r="244" spans="1:32" x14ac:dyDescent="0.25">
      <c r="A244" s="258"/>
      <c r="B244" s="319"/>
      <c r="C244" s="319"/>
      <c r="D244" s="319"/>
      <c r="E244" s="319"/>
      <c r="F244" s="320"/>
      <c r="G244" s="402"/>
      <c r="H244" s="411"/>
      <c r="I244" s="319"/>
      <c r="J244" s="319"/>
      <c r="K244" s="408"/>
      <c r="L244" s="409"/>
      <c r="M244" s="319"/>
      <c r="N244" s="319"/>
      <c r="O244" s="319"/>
      <c r="P244" s="319"/>
      <c r="Q244" s="319"/>
      <c r="R244" s="319"/>
      <c r="S244" s="319"/>
      <c r="T244" s="319"/>
      <c r="U244" s="319"/>
      <c r="V244" s="319"/>
      <c r="W244" s="319"/>
      <c r="X244" s="319"/>
      <c r="Y244" s="319"/>
      <c r="Z244" s="319"/>
      <c r="AA244" s="319"/>
      <c r="AB244" s="319"/>
      <c r="AC244" s="319"/>
      <c r="AD244" s="405"/>
      <c r="AE244" s="406"/>
      <c r="AF244" s="319"/>
    </row>
    <row r="245" spans="1:32" x14ac:dyDescent="0.25">
      <c r="A245" s="258"/>
      <c r="B245" s="319"/>
      <c r="C245" s="319"/>
      <c r="D245" s="319"/>
      <c r="E245" s="319"/>
      <c r="F245" s="320"/>
      <c r="G245" s="421"/>
      <c r="H245" s="411"/>
      <c r="I245" s="319"/>
      <c r="J245" s="319"/>
      <c r="K245" s="319"/>
      <c r="L245" s="319"/>
      <c r="M245" s="319"/>
      <c r="N245" s="319"/>
      <c r="O245" s="319"/>
      <c r="P245" s="319"/>
      <c r="Q245" s="319"/>
      <c r="R245" s="319"/>
      <c r="S245" s="319"/>
      <c r="T245" s="319"/>
      <c r="U245" s="319"/>
      <c r="V245" s="319"/>
      <c r="W245" s="319"/>
      <c r="X245" s="319"/>
      <c r="Y245" s="319"/>
      <c r="Z245" s="319"/>
      <c r="AA245" s="319"/>
      <c r="AB245" s="319"/>
      <c r="AC245" s="319"/>
      <c r="AD245" s="319"/>
      <c r="AE245" s="319"/>
      <c r="AF245" s="319"/>
    </row>
    <row r="246" spans="1:32" x14ac:dyDescent="0.25">
      <c r="A246" s="258"/>
      <c r="B246" s="319"/>
      <c r="C246" s="319"/>
      <c r="D246" s="319"/>
      <c r="E246" s="319"/>
      <c r="F246" s="320"/>
      <c r="G246" s="402"/>
      <c r="H246" s="411"/>
      <c r="I246" s="319"/>
      <c r="J246" s="319"/>
      <c r="K246" s="319"/>
      <c r="L246" s="319"/>
      <c r="M246" s="319"/>
      <c r="N246" s="319"/>
      <c r="O246" s="319"/>
      <c r="P246" s="319"/>
      <c r="Q246" s="319"/>
      <c r="R246" s="319"/>
      <c r="S246" s="319"/>
      <c r="T246" s="319"/>
      <c r="U246" s="319"/>
      <c r="V246" s="319"/>
      <c r="W246" s="319"/>
      <c r="X246" s="319"/>
      <c r="Y246" s="319"/>
      <c r="Z246" s="319"/>
      <c r="AA246" s="319"/>
      <c r="AB246" s="319"/>
      <c r="AC246" s="319"/>
      <c r="AD246" s="319"/>
      <c r="AE246" s="319"/>
      <c r="AF246" s="319"/>
    </row>
    <row r="247" spans="1:32" x14ac:dyDescent="0.25">
      <c r="A247" s="258"/>
      <c r="B247" s="319"/>
      <c r="C247" s="319"/>
      <c r="D247" s="319"/>
      <c r="E247" s="319"/>
      <c r="F247" s="320"/>
      <c r="G247" s="411"/>
      <c r="H247" s="411"/>
      <c r="I247" s="319"/>
      <c r="J247" s="319"/>
      <c r="K247" s="319"/>
      <c r="L247" s="319"/>
      <c r="M247" s="319"/>
      <c r="N247" s="319"/>
      <c r="O247" s="319"/>
      <c r="P247" s="319"/>
      <c r="Q247" s="319"/>
      <c r="R247" s="319"/>
      <c r="S247" s="319"/>
      <c r="T247" s="319"/>
      <c r="U247" s="319"/>
      <c r="V247" s="319"/>
      <c r="W247" s="319"/>
      <c r="X247" s="319"/>
      <c r="Y247" s="319"/>
      <c r="Z247" s="319"/>
      <c r="AA247" s="319"/>
      <c r="AB247" s="319"/>
      <c r="AC247" s="319"/>
      <c r="AD247" s="319"/>
      <c r="AE247" s="319"/>
      <c r="AF247" s="319"/>
    </row>
    <row r="248" spans="1:32" ht="18" customHeight="1" x14ac:dyDescent="0.25">
      <c r="A248" s="258"/>
      <c r="B248" s="319"/>
      <c r="C248" s="319"/>
      <c r="D248" s="319"/>
      <c r="E248" s="319"/>
      <c r="F248" s="320"/>
      <c r="G248" s="408"/>
      <c r="H248" s="411"/>
      <c r="I248" s="319"/>
      <c r="J248" s="319"/>
      <c r="K248" s="319"/>
      <c r="L248" s="319"/>
      <c r="M248" s="319"/>
      <c r="N248" s="319"/>
      <c r="O248" s="319"/>
      <c r="P248" s="319"/>
      <c r="Q248" s="319"/>
      <c r="R248" s="319"/>
      <c r="S248" s="319"/>
      <c r="T248" s="319"/>
      <c r="U248" s="319"/>
      <c r="V248" s="319"/>
      <c r="W248" s="319"/>
      <c r="X248" s="319"/>
      <c r="Y248" s="319"/>
      <c r="Z248" s="319"/>
      <c r="AA248" s="319"/>
      <c r="AB248" s="319"/>
      <c r="AC248" s="319"/>
      <c r="AD248" s="319"/>
      <c r="AE248" s="319"/>
      <c r="AF248" s="319"/>
    </row>
    <row r="249" spans="1:32" ht="18" customHeight="1" x14ac:dyDescent="0.25">
      <c r="A249" s="258"/>
      <c r="B249" s="319"/>
      <c r="C249" s="319"/>
      <c r="D249" s="319"/>
      <c r="E249" s="319"/>
      <c r="F249" s="320"/>
      <c r="G249" s="408"/>
      <c r="H249" s="411"/>
      <c r="I249" s="319"/>
      <c r="J249" s="319"/>
      <c r="K249" s="319"/>
      <c r="L249" s="319"/>
      <c r="M249" s="319"/>
      <c r="N249" s="319"/>
      <c r="O249" s="319"/>
      <c r="P249" s="319"/>
      <c r="Q249" s="319"/>
      <c r="R249" s="319"/>
      <c r="S249" s="319"/>
      <c r="T249" s="319"/>
      <c r="U249" s="319"/>
      <c r="V249" s="319"/>
      <c r="W249" s="319"/>
      <c r="X249" s="319"/>
      <c r="Y249" s="319"/>
      <c r="Z249" s="319"/>
      <c r="AA249" s="319"/>
      <c r="AB249" s="319"/>
      <c r="AC249" s="319"/>
      <c r="AD249" s="319"/>
      <c r="AE249" s="319"/>
      <c r="AF249" s="319"/>
    </row>
    <row r="250" spans="1:32" s="362" customFormat="1" ht="18" customHeight="1" x14ac:dyDescent="0.25">
      <c r="A250" s="319"/>
      <c r="B250" s="319"/>
      <c r="C250" s="319"/>
      <c r="D250" s="319"/>
      <c r="E250" s="319"/>
      <c r="F250" s="320"/>
      <c r="G250" s="408"/>
      <c r="H250" s="411"/>
      <c r="I250" s="319"/>
      <c r="J250" s="319"/>
      <c r="K250" s="319"/>
      <c r="L250" s="319"/>
      <c r="M250" s="319"/>
      <c r="N250" s="319"/>
      <c r="O250" s="319"/>
      <c r="P250" s="319"/>
      <c r="Q250" s="319"/>
      <c r="R250" s="319"/>
      <c r="S250" s="319"/>
      <c r="T250" s="319"/>
      <c r="U250" s="319"/>
      <c r="V250" s="319"/>
      <c r="W250" s="319"/>
      <c r="X250" s="319"/>
      <c r="Y250" s="319"/>
      <c r="Z250" s="319"/>
      <c r="AA250" s="319"/>
      <c r="AB250" s="319"/>
      <c r="AC250" s="319"/>
      <c r="AD250" s="319"/>
      <c r="AE250" s="319"/>
      <c r="AF250" s="319"/>
    </row>
    <row r="251" spans="1:32" ht="18" customHeight="1" x14ac:dyDescent="0.35">
      <c r="A251" s="258"/>
      <c r="B251" s="403"/>
      <c r="C251" s="319"/>
      <c r="D251" s="515"/>
      <c r="E251" s="515"/>
      <c r="F251" s="515"/>
      <c r="G251" s="412"/>
      <c r="H251" s="413"/>
      <c r="I251" s="319"/>
      <c r="J251" s="319"/>
      <c r="K251" s="319"/>
      <c r="L251" s="319"/>
      <c r="M251" s="319"/>
      <c r="N251" s="319"/>
      <c r="O251" s="319"/>
      <c r="P251" s="319"/>
      <c r="Q251" s="319"/>
      <c r="R251" s="319"/>
      <c r="S251" s="319"/>
      <c r="T251" s="319"/>
      <c r="U251" s="319"/>
      <c r="V251" s="319"/>
      <c r="W251" s="319"/>
      <c r="X251" s="319"/>
      <c r="Y251" s="319"/>
      <c r="Z251" s="319"/>
      <c r="AA251" s="319"/>
      <c r="AB251" s="319"/>
      <c r="AC251" s="319"/>
      <c r="AD251" s="319"/>
      <c r="AE251" s="319"/>
      <c r="AF251" s="319"/>
    </row>
    <row r="252" spans="1:32" ht="21" x14ac:dyDescent="0.35">
      <c r="A252" s="258"/>
      <c r="B252" s="403"/>
      <c r="C252" s="319"/>
      <c r="D252" s="400"/>
      <c r="E252" s="400"/>
      <c r="F252" s="400"/>
      <c r="G252" s="400"/>
      <c r="H252" s="400"/>
      <c r="I252" s="319"/>
      <c r="J252" s="319"/>
      <c r="K252" s="319"/>
      <c r="L252" s="319"/>
      <c r="M252" s="319"/>
      <c r="N252" s="319"/>
      <c r="O252" s="319"/>
      <c r="P252" s="319"/>
      <c r="Q252" s="319"/>
      <c r="R252" s="319"/>
      <c r="S252" s="319"/>
      <c r="T252" s="319"/>
      <c r="U252" s="319"/>
      <c r="V252" s="319"/>
      <c r="W252" s="319"/>
      <c r="X252" s="319"/>
      <c r="Y252" s="319"/>
      <c r="Z252" s="319"/>
      <c r="AA252" s="319"/>
      <c r="AB252" s="319"/>
      <c r="AC252" s="319"/>
      <c r="AD252" s="319"/>
      <c r="AE252" s="319"/>
      <c r="AF252" s="319"/>
    </row>
    <row r="253" spans="1:32" ht="21" x14ac:dyDescent="0.35">
      <c r="A253" s="258"/>
      <c r="B253" s="403"/>
      <c r="C253" s="319"/>
      <c r="D253" s="400"/>
      <c r="E253" s="400"/>
      <c r="F253" s="401"/>
      <c r="G253" s="414"/>
      <c r="H253" s="415"/>
      <c r="I253" s="319"/>
      <c r="J253" s="319"/>
      <c r="K253" s="319"/>
      <c r="L253" s="319"/>
      <c r="M253" s="319"/>
      <c r="N253" s="319"/>
      <c r="O253" s="319"/>
      <c r="P253" s="319"/>
      <c r="Q253" s="319"/>
      <c r="R253" s="319"/>
      <c r="S253" s="319"/>
      <c r="T253" s="319"/>
      <c r="U253" s="319"/>
      <c r="V253" s="319"/>
      <c r="W253" s="319"/>
      <c r="X253" s="319"/>
      <c r="Y253" s="319"/>
      <c r="Z253" s="319"/>
      <c r="AA253" s="319"/>
      <c r="AB253" s="319"/>
      <c r="AC253" s="319"/>
      <c r="AD253" s="319"/>
      <c r="AE253" s="319"/>
      <c r="AF253" s="319"/>
    </row>
    <row r="254" spans="1:32" ht="21" x14ac:dyDescent="0.35">
      <c r="A254" s="258"/>
      <c r="B254" s="403"/>
      <c r="C254" s="319"/>
      <c r="D254" s="400"/>
      <c r="E254" s="400"/>
      <c r="F254" s="400"/>
      <c r="G254" s="400"/>
      <c r="H254" s="400"/>
      <c r="I254" s="319"/>
      <c r="J254" s="319"/>
      <c r="K254" s="319"/>
      <c r="L254" s="319"/>
      <c r="M254" s="319"/>
      <c r="N254" s="319"/>
      <c r="O254" s="319"/>
      <c r="P254" s="319"/>
      <c r="Q254" s="319"/>
      <c r="R254" s="319"/>
      <c r="S254" s="319"/>
      <c r="T254" s="319"/>
      <c r="U254" s="319"/>
      <c r="V254" s="319"/>
      <c r="W254" s="319"/>
      <c r="X254" s="319"/>
      <c r="Y254" s="319"/>
      <c r="Z254" s="319"/>
      <c r="AA254" s="319"/>
      <c r="AB254" s="319"/>
      <c r="AC254" s="319"/>
      <c r="AD254" s="319"/>
      <c r="AE254" s="319"/>
      <c r="AF254" s="319"/>
    </row>
    <row r="255" spans="1:32" x14ac:dyDescent="0.25">
      <c r="A255" s="258"/>
      <c r="B255" s="319"/>
      <c r="C255" s="319"/>
      <c r="D255" s="319"/>
      <c r="E255" s="319"/>
      <c r="F255" s="401"/>
      <c r="G255" s="416"/>
      <c r="H255" s="415"/>
      <c r="I255" s="319"/>
      <c r="J255" s="319"/>
      <c r="K255" s="319"/>
      <c r="L255" s="319"/>
      <c r="M255" s="319"/>
      <c r="N255" s="319"/>
      <c r="O255" s="319"/>
      <c r="P255" s="319"/>
      <c r="Q255" s="319"/>
      <c r="R255" s="319"/>
      <c r="S255" s="319"/>
      <c r="T255" s="319"/>
      <c r="U255" s="319"/>
      <c r="V255" s="319"/>
      <c r="W255" s="319"/>
      <c r="X255" s="319"/>
      <c r="Y255" s="319"/>
      <c r="Z255" s="319"/>
      <c r="AA255" s="319"/>
      <c r="AB255" s="319"/>
      <c r="AC255" s="319"/>
      <c r="AD255" s="319"/>
      <c r="AE255" s="319"/>
      <c r="AF255" s="319"/>
    </row>
    <row r="256" spans="1:32" x14ac:dyDescent="0.25">
      <c r="A256" s="258"/>
      <c r="B256" s="319"/>
      <c r="C256" s="319"/>
      <c r="D256" s="319"/>
      <c r="E256" s="319"/>
      <c r="F256" s="319"/>
      <c r="G256" s="319"/>
      <c r="H256" s="417"/>
      <c r="I256" s="319"/>
      <c r="J256" s="407"/>
      <c r="K256" s="408"/>
      <c r="L256" s="409"/>
      <c r="M256" s="319"/>
      <c r="N256" s="319"/>
      <c r="O256" s="319"/>
      <c r="P256" s="319"/>
      <c r="Q256" s="319"/>
      <c r="R256" s="319"/>
      <c r="S256" s="319"/>
      <c r="T256" s="319"/>
      <c r="U256" s="319"/>
      <c r="V256" s="319"/>
      <c r="W256" s="319"/>
      <c r="X256" s="319"/>
      <c r="Y256" s="319"/>
      <c r="Z256" s="319"/>
      <c r="AA256" s="319"/>
      <c r="AB256" s="319"/>
      <c r="AC256" s="319"/>
      <c r="AD256" s="405"/>
      <c r="AE256" s="406"/>
      <c r="AF256" s="319"/>
    </row>
    <row r="257" spans="1:32" x14ac:dyDescent="0.25">
      <c r="A257" s="258"/>
      <c r="B257" s="319"/>
      <c r="C257" s="418"/>
      <c r="D257" s="319"/>
      <c r="E257" s="319"/>
      <c r="F257" s="401"/>
      <c r="G257" s="416"/>
      <c r="H257" s="415"/>
      <c r="I257" s="319"/>
      <c r="J257" s="407"/>
      <c r="K257" s="408"/>
      <c r="L257" s="409"/>
      <c r="M257" s="319"/>
      <c r="N257" s="319"/>
      <c r="O257" s="319"/>
      <c r="P257" s="319"/>
      <c r="Q257" s="319"/>
      <c r="R257" s="319"/>
      <c r="S257" s="319"/>
      <c r="T257" s="319"/>
      <c r="U257" s="319"/>
      <c r="V257" s="319"/>
      <c r="W257" s="319"/>
      <c r="X257" s="319"/>
      <c r="Y257" s="319"/>
      <c r="Z257" s="319"/>
      <c r="AA257" s="319"/>
      <c r="AB257" s="319"/>
      <c r="AC257" s="319"/>
      <c r="AD257" s="405"/>
      <c r="AE257" s="406"/>
      <c r="AF257" s="319"/>
    </row>
    <row r="258" spans="1:32" x14ac:dyDescent="0.25">
      <c r="A258" s="258"/>
      <c r="B258" s="319"/>
      <c r="C258" s="319"/>
      <c r="D258" s="319"/>
      <c r="E258" s="319"/>
      <c r="F258" s="319"/>
      <c r="G258" s="416"/>
      <c r="H258" s="415"/>
      <c r="I258" s="319"/>
      <c r="J258" s="407"/>
      <c r="K258" s="408"/>
      <c r="L258" s="409"/>
      <c r="M258" s="319"/>
      <c r="N258" s="319"/>
      <c r="O258" s="319"/>
      <c r="P258" s="319"/>
      <c r="Q258" s="319"/>
      <c r="R258" s="319"/>
      <c r="S258" s="319"/>
      <c r="T258" s="319"/>
      <c r="U258" s="319"/>
      <c r="V258" s="319"/>
      <c r="W258" s="319"/>
      <c r="X258" s="319"/>
      <c r="Y258" s="319"/>
      <c r="Z258" s="319"/>
      <c r="AA258" s="319"/>
      <c r="AB258" s="319"/>
      <c r="AC258" s="319"/>
      <c r="AD258" s="405"/>
      <c r="AE258" s="406"/>
      <c r="AF258" s="319"/>
    </row>
    <row r="259" spans="1:32" x14ac:dyDescent="0.25">
      <c r="A259" s="258"/>
      <c r="B259" s="319"/>
      <c r="C259" s="319"/>
      <c r="D259" s="319"/>
      <c r="E259" s="319"/>
      <c r="F259" s="401"/>
      <c r="G259" s="416"/>
      <c r="H259" s="415"/>
      <c r="I259" s="319"/>
      <c r="J259" s="407"/>
      <c r="K259" s="408"/>
      <c r="L259" s="409"/>
      <c r="M259" s="319"/>
      <c r="N259" s="319"/>
      <c r="O259" s="319"/>
      <c r="P259" s="319"/>
      <c r="Q259" s="319"/>
      <c r="R259" s="319"/>
      <c r="S259" s="319"/>
      <c r="T259" s="319"/>
      <c r="U259" s="319"/>
      <c r="V259" s="319"/>
      <c r="W259" s="319"/>
      <c r="X259" s="319"/>
      <c r="Y259" s="319"/>
      <c r="Z259" s="319"/>
      <c r="AA259" s="319"/>
      <c r="AB259" s="319"/>
      <c r="AC259" s="319"/>
      <c r="AD259" s="405"/>
      <c r="AE259" s="406"/>
      <c r="AF259" s="319"/>
    </row>
    <row r="260" spans="1:32" x14ac:dyDescent="0.25">
      <c r="A260" s="258"/>
      <c r="B260" s="319"/>
      <c r="C260" s="319"/>
      <c r="D260" s="319"/>
      <c r="E260" s="319"/>
      <c r="F260" s="319"/>
      <c r="G260" s="416"/>
      <c r="H260" s="415"/>
      <c r="I260" s="319"/>
      <c r="J260" s="407"/>
      <c r="K260" s="408"/>
      <c r="L260" s="409"/>
      <c r="M260" s="319"/>
      <c r="N260" s="319"/>
      <c r="O260" s="319"/>
      <c r="P260" s="319"/>
      <c r="Q260" s="319"/>
      <c r="R260" s="319"/>
      <c r="S260" s="319"/>
      <c r="T260" s="319"/>
      <c r="U260" s="319"/>
      <c r="V260" s="319"/>
      <c r="W260" s="319"/>
      <c r="X260" s="319"/>
      <c r="Y260" s="319"/>
      <c r="Z260" s="319"/>
      <c r="AA260" s="319"/>
      <c r="AB260" s="319"/>
      <c r="AC260" s="319"/>
      <c r="AD260" s="405"/>
      <c r="AE260" s="406"/>
      <c r="AF260" s="319"/>
    </row>
    <row r="261" spans="1:32" x14ac:dyDescent="0.25">
      <c r="A261" s="258"/>
      <c r="B261" s="319"/>
      <c r="C261" s="319"/>
      <c r="D261" s="319"/>
      <c r="E261" s="71"/>
      <c r="F261" s="401"/>
      <c r="G261" s="416"/>
      <c r="H261" s="415"/>
      <c r="I261" s="319"/>
      <c r="J261" s="407"/>
      <c r="K261" s="408"/>
      <c r="L261" s="409"/>
      <c r="M261" s="319"/>
      <c r="N261" s="319"/>
      <c r="O261" s="319"/>
      <c r="P261" s="319"/>
      <c r="Q261" s="319"/>
      <c r="R261" s="319"/>
      <c r="S261" s="319"/>
      <c r="T261" s="319"/>
      <c r="U261" s="319"/>
      <c r="V261" s="319"/>
      <c r="W261" s="319"/>
      <c r="X261" s="319"/>
      <c r="Y261" s="319"/>
      <c r="Z261" s="319"/>
      <c r="AA261" s="319"/>
      <c r="AB261" s="319"/>
      <c r="AC261" s="319"/>
      <c r="AD261" s="405"/>
      <c r="AE261" s="406"/>
      <c r="AF261" s="319"/>
    </row>
    <row r="262" spans="1:32" x14ac:dyDescent="0.25">
      <c r="A262" s="258"/>
      <c r="B262" s="319"/>
      <c r="C262" s="319"/>
      <c r="D262" s="319"/>
      <c r="E262" s="319"/>
      <c r="F262" s="319"/>
      <c r="G262" s="319"/>
      <c r="H262" s="319"/>
      <c r="I262" s="319"/>
      <c r="J262" s="407"/>
      <c r="K262" s="408"/>
      <c r="L262" s="409"/>
      <c r="M262" s="319"/>
      <c r="N262" s="319"/>
      <c r="O262" s="319"/>
      <c r="P262" s="319"/>
      <c r="Q262" s="319"/>
      <c r="R262" s="319"/>
      <c r="S262" s="319"/>
      <c r="T262" s="319"/>
      <c r="U262" s="319"/>
      <c r="V262" s="319"/>
      <c r="W262" s="319"/>
      <c r="X262" s="319"/>
      <c r="Y262" s="319"/>
      <c r="Z262" s="319"/>
      <c r="AA262" s="319"/>
      <c r="AB262" s="319"/>
      <c r="AC262" s="319"/>
      <c r="AD262" s="405"/>
      <c r="AE262" s="406"/>
      <c r="AF262" s="319"/>
    </row>
    <row r="263" spans="1:32" x14ac:dyDescent="0.25">
      <c r="A263" s="258"/>
      <c r="B263" s="319"/>
      <c r="C263" s="419"/>
      <c r="D263" s="319"/>
      <c r="E263" s="319"/>
      <c r="F263" s="401"/>
      <c r="G263" s="420"/>
      <c r="H263" s="411"/>
      <c r="I263" s="319"/>
      <c r="J263" s="407"/>
      <c r="K263" s="408"/>
      <c r="L263" s="409"/>
      <c r="M263" s="319"/>
      <c r="N263" s="319"/>
      <c r="O263" s="319"/>
      <c r="P263" s="319"/>
      <c r="Q263" s="319"/>
      <c r="R263" s="319"/>
      <c r="S263" s="319"/>
      <c r="T263" s="319"/>
      <c r="U263" s="319"/>
      <c r="V263" s="319"/>
      <c r="W263" s="319"/>
      <c r="X263" s="319"/>
      <c r="Y263" s="319"/>
      <c r="Z263" s="319"/>
      <c r="AA263" s="319"/>
      <c r="AB263" s="319"/>
      <c r="AC263" s="319"/>
      <c r="AD263" s="405"/>
      <c r="AE263" s="406"/>
      <c r="AF263" s="319"/>
    </row>
    <row r="264" spans="1:32" x14ac:dyDescent="0.25">
      <c r="A264" s="258"/>
      <c r="B264" s="319"/>
      <c r="C264" s="319"/>
      <c r="D264" s="319"/>
      <c r="E264" s="319"/>
      <c r="F264" s="320"/>
      <c r="G264" s="416"/>
      <c r="H264" s="319"/>
      <c r="I264" s="319"/>
      <c r="J264" s="407"/>
      <c r="K264" s="408"/>
      <c r="L264" s="409"/>
      <c r="M264" s="319"/>
      <c r="N264" s="319"/>
      <c r="O264" s="319"/>
      <c r="P264" s="319"/>
      <c r="Q264" s="319"/>
      <c r="R264" s="319"/>
      <c r="S264" s="319"/>
      <c r="T264" s="319"/>
      <c r="U264" s="319"/>
      <c r="V264" s="319"/>
      <c r="W264" s="319"/>
      <c r="X264" s="319"/>
      <c r="Y264" s="319"/>
      <c r="Z264" s="319"/>
      <c r="AA264" s="319"/>
      <c r="AB264" s="319"/>
      <c r="AC264" s="319"/>
      <c r="AD264" s="405"/>
      <c r="AE264" s="406"/>
      <c r="AF264" s="319"/>
    </row>
    <row r="265" spans="1:32" x14ac:dyDescent="0.25">
      <c r="A265" s="258"/>
      <c r="B265" s="319"/>
      <c r="C265" s="319"/>
      <c r="D265" s="319"/>
      <c r="E265" s="319"/>
      <c r="F265" s="320"/>
      <c r="G265" s="319"/>
      <c r="H265" s="411"/>
      <c r="I265" s="319"/>
      <c r="J265" s="407"/>
      <c r="K265" s="408"/>
      <c r="L265" s="409"/>
      <c r="M265" s="319"/>
      <c r="N265" s="319"/>
      <c r="O265" s="319"/>
      <c r="P265" s="319"/>
      <c r="Q265" s="319"/>
      <c r="R265" s="319"/>
      <c r="S265" s="319"/>
      <c r="T265" s="319"/>
      <c r="U265" s="319"/>
      <c r="V265" s="319"/>
      <c r="W265" s="319"/>
      <c r="X265" s="319"/>
      <c r="Y265" s="319"/>
      <c r="Z265" s="319"/>
      <c r="AA265" s="319"/>
      <c r="AB265" s="319"/>
      <c r="AC265" s="319"/>
      <c r="AD265" s="405"/>
      <c r="AE265" s="406"/>
      <c r="AF265" s="319"/>
    </row>
    <row r="266" spans="1:32" x14ac:dyDescent="0.25">
      <c r="A266" s="258"/>
      <c r="B266" s="319"/>
      <c r="C266" s="319"/>
      <c r="D266" s="319"/>
      <c r="E266" s="319"/>
      <c r="F266" s="320"/>
      <c r="G266" s="402"/>
      <c r="H266" s="411"/>
      <c r="I266" s="319"/>
      <c r="J266" s="319"/>
      <c r="K266" s="408"/>
      <c r="L266" s="409"/>
      <c r="M266" s="319"/>
      <c r="N266" s="319"/>
      <c r="O266" s="319"/>
      <c r="P266" s="319"/>
      <c r="Q266" s="319"/>
      <c r="R266" s="319"/>
      <c r="S266" s="319"/>
      <c r="T266" s="319"/>
      <c r="U266" s="319"/>
      <c r="V266" s="319"/>
      <c r="W266" s="319"/>
      <c r="X266" s="319"/>
      <c r="Y266" s="319"/>
      <c r="Z266" s="319"/>
      <c r="AA266" s="319"/>
      <c r="AB266" s="319"/>
      <c r="AC266" s="319"/>
      <c r="AD266" s="405"/>
      <c r="AE266" s="406"/>
      <c r="AF266" s="319"/>
    </row>
    <row r="267" spans="1:32" x14ac:dyDescent="0.25">
      <c r="A267" s="258"/>
      <c r="B267" s="319"/>
      <c r="C267" s="319"/>
      <c r="D267" s="319"/>
      <c r="E267" s="319"/>
      <c r="F267" s="320"/>
      <c r="G267" s="421"/>
      <c r="H267" s="411"/>
      <c r="I267" s="319"/>
      <c r="J267" s="319"/>
      <c r="K267" s="319"/>
      <c r="L267" s="319"/>
      <c r="M267" s="319"/>
      <c r="N267" s="319"/>
      <c r="O267" s="319"/>
      <c r="P267" s="319"/>
      <c r="Q267" s="319"/>
      <c r="R267" s="319"/>
      <c r="S267" s="319"/>
      <c r="T267" s="319"/>
      <c r="U267" s="319"/>
      <c r="V267" s="319"/>
      <c r="W267" s="319"/>
      <c r="X267" s="319"/>
      <c r="Y267" s="319"/>
      <c r="Z267" s="319"/>
      <c r="AA267" s="319"/>
      <c r="AB267" s="319"/>
      <c r="AC267" s="319"/>
      <c r="AD267" s="319"/>
      <c r="AE267" s="319"/>
      <c r="AF267" s="319"/>
    </row>
    <row r="268" spans="1:32" x14ac:dyDescent="0.25">
      <c r="A268" s="258"/>
      <c r="B268" s="319"/>
      <c r="C268" s="319"/>
      <c r="D268" s="319"/>
      <c r="E268" s="319"/>
      <c r="F268" s="320"/>
      <c r="G268" s="402"/>
      <c r="H268" s="411"/>
      <c r="I268" s="319"/>
      <c r="J268" s="319"/>
      <c r="K268" s="319"/>
      <c r="L268" s="319"/>
      <c r="M268" s="319"/>
      <c r="N268" s="319"/>
      <c r="O268" s="319"/>
      <c r="P268" s="319"/>
      <c r="Q268" s="319"/>
      <c r="R268" s="319"/>
      <c r="S268" s="319"/>
      <c r="T268" s="319"/>
      <c r="U268" s="319"/>
      <c r="V268" s="319"/>
      <c r="W268" s="319"/>
      <c r="X268" s="319"/>
      <c r="Y268" s="319"/>
      <c r="Z268" s="319"/>
      <c r="AA268" s="319"/>
      <c r="AB268" s="319"/>
      <c r="AC268" s="319"/>
      <c r="AD268" s="319"/>
      <c r="AE268" s="319"/>
      <c r="AF268" s="319"/>
    </row>
    <row r="269" spans="1:32" x14ac:dyDescent="0.25">
      <c r="A269" s="258"/>
      <c r="B269" s="319"/>
      <c r="C269" s="319"/>
      <c r="D269" s="319"/>
      <c r="E269" s="319"/>
      <c r="F269" s="320"/>
      <c r="G269" s="411"/>
      <c r="H269" s="411"/>
      <c r="I269" s="319"/>
      <c r="J269" s="319"/>
      <c r="K269" s="319"/>
      <c r="L269" s="319"/>
      <c r="M269" s="319"/>
      <c r="N269" s="319"/>
      <c r="O269" s="319"/>
      <c r="P269" s="319"/>
      <c r="Q269" s="319"/>
      <c r="R269" s="319"/>
      <c r="S269" s="319"/>
      <c r="T269" s="319"/>
      <c r="U269" s="319"/>
      <c r="V269" s="319"/>
      <c r="W269" s="319"/>
      <c r="X269" s="319"/>
      <c r="Y269" s="319"/>
      <c r="Z269" s="319"/>
      <c r="AA269" s="319"/>
      <c r="AB269" s="319"/>
      <c r="AC269" s="319"/>
      <c r="AD269" s="319"/>
      <c r="AE269" s="319"/>
      <c r="AF269" s="319"/>
    </row>
    <row r="270" spans="1:32" x14ac:dyDescent="0.25">
      <c r="A270" s="258"/>
      <c r="B270" s="319"/>
      <c r="C270" s="319"/>
      <c r="D270" s="319"/>
      <c r="E270" s="319"/>
      <c r="F270" s="320"/>
      <c r="G270" s="408"/>
      <c r="H270" s="411"/>
      <c r="I270" s="319"/>
      <c r="J270" s="319"/>
      <c r="K270" s="319"/>
      <c r="L270" s="319"/>
      <c r="M270" s="319"/>
      <c r="N270" s="319"/>
      <c r="O270" s="319"/>
      <c r="P270" s="319"/>
      <c r="Q270" s="319"/>
      <c r="R270" s="319"/>
      <c r="S270" s="319"/>
      <c r="T270" s="319"/>
      <c r="U270" s="319"/>
      <c r="V270" s="319"/>
      <c r="W270" s="319"/>
      <c r="X270" s="319"/>
      <c r="Y270" s="319"/>
      <c r="Z270" s="319"/>
      <c r="AA270" s="319"/>
      <c r="AB270" s="319"/>
      <c r="AC270" s="319"/>
      <c r="AD270" s="319"/>
      <c r="AE270" s="319"/>
      <c r="AF270" s="319"/>
    </row>
    <row r="271" spans="1:32" x14ac:dyDescent="0.25">
      <c r="A271" s="258"/>
      <c r="B271" s="319"/>
      <c r="C271" s="319"/>
      <c r="D271" s="319"/>
      <c r="E271" s="319"/>
      <c r="F271" s="320"/>
      <c r="G271" s="408"/>
      <c r="H271" s="411"/>
      <c r="I271" s="319"/>
      <c r="J271" s="319"/>
      <c r="K271" s="319"/>
      <c r="L271" s="319"/>
      <c r="M271" s="319"/>
      <c r="N271" s="319"/>
      <c r="O271" s="319"/>
      <c r="P271" s="319"/>
      <c r="Q271" s="319"/>
      <c r="R271" s="319"/>
      <c r="S271" s="319"/>
      <c r="T271" s="319"/>
      <c r="U271" s="319"/>
      <c r="V271" s="319"/>
      <c r="W271" s="319"/>
      <c r="X271" s="319"/>
      <c r="Y271" s="319"/>
      <c r="Z271" s="319"/>
      <c r="AA271" s="319"/>
      <c r="AB271" s="319"/>
      <c r="AC271" s="319"/>
      <c r="AD271" s="319"/>
      <c r="AE271" s="319"/>
      <c r="AF271" s="319"/>
    </row>
    <row r="272" spans="1:32" s="362" customFormat="1" x14ac:dyDescent="0.25">
      <c r="A272" s="319"/>
      <c r="B272" s="319"/>
      <c r="C272" s="319"/>
      <c r="D272" s="319"/>
      <c r="E272" s="319"/>
      <c r="F272" s="320"/>
      <c r="G272" s="408"/>
      <c r="H272" s="411"/>
      <c r="I272" s="319"/>
      <c r="J272" s="319"/>
      <c r="K272" s="319"/>
      <c r="L272" s="319"/>
      <c r="M272" s="319"/>
      <c r="N272" s="319"/>
      <c r="O272" s="319"/>
      <c r="P272" s="319"/>
      <c r="Q272" s="319"/>
      <c r="R272" s="319"/>
      <c r="S272" s="319"/>
      <c r="T272" s="319"/>
      <c r="U272" s="319"/>
      <c r="V272" s="319"/>
      <c r="W272" s="319"/>
      <c r="X272" s="319"/>
      <c r="Y272" s="319"/>
      <c r="Z272" s="319"/>
      <c r="AA272" s="319"/>
      <c r="AB272" s="319"/>
      <c r="AC272" s="319"/>
      <c r="AD272" s="319"/>
      <c r="AE272" s="319"/>
      <c r="AF272" s="319"/>
    </row>
    <row r="273" spans="1:32" ht="18" customHeight="1" x14ac:dyDescent="0.35">
      <c r="A273" s="258"/>
      <c r="B273" s="403"/>
      <c r="C273" s="319"/>
      <c r="D273" s="515"/>
      <c r="E273" s="515"/>
      <c r="F273" s="515"/>
      <c r="G273" s="412"/>
      <c r="H273" s="413"/>
      <c r="I273" s="319"/>
      <c r="J273" s="319"/>
      <c r="K273" s="319"/>
      <c r="L273" s="319"/>
      <c r="M273" s="319"/>
      <c r="N273" s="319"/>
      <c r="O273" s="319"/>
      <c r="P273" s="319"/>
      <c r="Q273" s="319"/>
      <c r="R273" s="319"/>
      <c r="S273" s="319"/>
      <c r="T273" s="319"/>
      <c r="U273" s="319"/>
      <c r="V273" s="319"/>
      <c r="W273" s="319"/>
      <c r="X273" s="319"/>
      <c r="Y273" s="319"/>
      <c r="Z273" s="319"/>
      <c r="AA273" s="319"/>
      <c r="AB273" s="319"/>
      <c r="AC273" s="319"/>
      <c r="AD273" s="319"/>
      <c r="AE273" s="319"/>
      <c r="AF273" s="319"/>
    </row>
    <row r="274" spans="1:32" ht="18" customHeight="1" x14ac:dyDescent="0.35">
      <c r="A274" s="258"/>
      <c r="B274" s="403"/>
      <c r="C274" s="319"/>
      <c r="D274" s="400"/>
      <c r="E274" s="400"/>
      <c r="F274" s="400"/>
      <c r="G274" s="400"/>
      <c r="H274" s="400"/>
      <c r="I274" s="319"/>
      <c r="J274" s="319"/>
      <c r="K274" s="319"/>
      <c r="L274" s="319"/>
      <c r="M274" s="319"/>
      <c r="N274" s="319"/>
      <c r="O274" s="319"/>
      <c r="P274" s="319"/>
      <c r="Q274" s="319"/>
      <c r="R274" s="319"/>
      <c r="S274" s="319"/>
      <c r="T274" s="319"/>
      <c r="U274" s="319"/>
      <c r="V274" s="319"/>
      <c r="W274" s="319"/>
      <c r="X274" s="319"/>
      <c r="Y274" s="319"/>
      <c r="Z274" s="319"/>
      <c r="AA274" s="319"/>
      <c r="AB274" s="319"/>
      <c r="AC274" s="319"/>
      <c r="AD274" s="319"/>
      <c r="AE274" s="319"/>
      <c r="AF274" s="319"/>
    </row>
    <row r="275" spans="1:32" ht="18" customHeight="1" x14ac:dyDescent="0.35">
      <c r="A275" s="258"/>
      <c r="B275" s="403"/>
      <c r="C275" s="319"/>
      <c r="D275" s="400"/>
      <c r="E275" s="400"/>
      <c r="F275" s="401"/>
      <c r="G275" s="414"/>
      <c r="H275" s="415"/>
      <c r="I275" s="319"/>
      <c r="J275" s="319"/>
      <c r="K275" s="319"/>
      <c r="L275" s="319"/>
      <c r="M275" s="319"/>
      <c r="N275" s="319"/>
      <c r="O275" s="319"/>
      <c r="P275" s="319"/>
      <c r="Q275" s="319"/>
      <c r="R275" s="319"/>
      <c r="S275" s="319"/>
      <c r="T275" s="319"/>
      <c r="U275" s="319"/>
      <c r="V275" s="319"/>
      <c r="W275" s="319"/>
      <c r="X275" s="319"/>
      <c r="Y275" s="319"/>
      <c r="Z275" s="319"/>
      <c r="AA275" s="319"/>
      <c r="AB275" s="319"/>
      <c r="AC275" s="319"/>
      <c r="AD275" s="319"/>
      <c r="AE275" s="319"/>
      <c r="AF275" s="319"/>
    </row>
    <row r="276" spans="1:32" ht="21" x14ac:dyDescent="0.35">
      <c r="A276" s="258"/>
      <c r="B276" s="403"/>
      <c r="C276" s="319"/>
      <c r="D276" s="400"/>
      <c r="E276" s="400"/>
      <c r="F276" s="400"/>
      <c r="G276" s="400"/>
      <c r="H276" s="400"/>
      <c r="I276" s="319"/>
      <c r="J276" s="319"/>
      <c r="K276" s="319"/>
      <c r="L276" s="319"/>
      <c r="M276" s="319"/>
      <c r="N276" s="319"/>
      <c r="O276" s="319"/>
      <c r="P276" s="319"/>
      <c r="Q276" s="319"/>
      <c r="R276" s="319"/>
      <c r="S276" s="319"/>
      <c r="T276" s="319"/>
      <c r="U276" s="319"/>
      <c r="V276" s="319"/>
      <c r="W276" s="319"/>
      <c r="X276" s="319"/>
      <c r="Y276" s="319"/>
      <c r="Z276" s="319"/>
      <c r="AA276" s="319"/>
      <c r="AB276" s="319"/>
      <c r="AC276" s="319"/>
      <c r="AD276" s="319"/>
      <c r="AE276" s="319"/>
      <c r="AF276" s="319"/>
    </row>
    <row r="277" spans="1:32" x14ac:dyDescent="0.25">
      <c r="A277" s="258"/>
      <c r="B277" s="319"/>
      <c r="C277" s="319"/>
      <c r="D277" s="319"/>
      <c r="E277" s="319"/>
      <c r="F277" s="401"/>
      <c r="G277" s="416"/>
      <c r="H277" s="415"/>
      <c r="I277" s="319"/>
      <c r="J277" s="319"/>
      <c r="K277" s="319"/>
      <c r="L277" s="319"/>
      <c r="M277" s="319"/>
      <c r="N277" s="319"/>
      <c r="O277" s="319"/>
      <c r="P277" s="319"/>
      <c r="Q277" s="319"/>
      <c r="R277" s="319"/>
      <c r="S277" s="319"/>
      <c r="T277" s="319"/>
      <c r="U277" s="319"/>
      <c r="V277" s="319"/>
      <c r="W277" s="319"/>
      <c r="X277" s="319"/>
      <c r="Y277" s="319"/>
      <c r="Z277" s="319"/>
      <c r="AA277" s="319"/>
      <c r="AB277" s="319"/>
      <c r="AC277" s="319"/>
      <c r="AD277" s="319"/>
      <c r="AE277" s="319"/>
      <c r="AF277" s="319"/>
    </row>
    <row r="278" spans="1:32" x14ac:dyDescent="0.25">
      <c r="A278" s="258"/>
      <c r="B278" s="319"/>
      <c r="C278" s="319"/>
      <c r="D278" s="319"/>
      <c r="E278" s="319"/>
      <c r="F278" s="319"/>
      <c r="G278" s="319"/>
      <c r="H278" s="417"/>
      <c r="I278" s="319"/>
      <c r="J278" s="407"/>
      <c r="K278" s="408"/>
      <c r="L278" s="409"/>
      <c r="M278" s="319"/>
      <c r="N278" s="319"/>
      <c r="O278" s="319"/>
      <c r="P278" s="319"/>
      <c r="Q278" s="319"/>
      <c r="R278" s="319"/>
      <c r="S278" s="319"/>
      <c r="T278" s="319"/>
      <c r="U278" s="319"/>
      <c r="V278" s="319"/>
      <c r="W278" s="319"/>
      <c r="X278" s="319"/>
      <c r="Y278" s="319"/>
      <c r="Z278" s="319"/>
      <c r="AA278" s="319"/>
      <c r="AB278" s="319"/>
      <c r="AC278" s="319"/>
      <c r="AD278" s="405"/>
      <c r="AE278" s="406"/>
      <c r="AF278" s="319"/>
    </row>
    <row r="279" spans="1:32" x14ac:dyDescent="0.25">
      <c r="A279" s="258"/>
      <c r="B279" s="319"/>
      <c r="C279" s="418"/>
      <c r="D279" s="319"/>
      <c r="E279" s="319"/>
      <c r="F279" s="401"/>
      <c r="G279" s="416"/>
      <c r="H279" s="415"/>
      <c r="I279" s="319"/>
      <c r="J279" s="407"/>
      <c r="K279" s="408"/>
      <c r="L279" s="409"/>
      <c r="M279" s="319"/>
      <c r="N279" s="319"/>
      <c r="O279" s="319"/>
      <c r="P279" s="319"/>
      <c r="Q279" s="319"/>
      <c r="R279" s="319"/>
      <c r="S279" s="319"/>
      <c r="T279" s="319"/>
      <c r="U279" s="319"/>
      <c r="V279" s="319"/>
      <c r="W279" s="319"/>
      <c r="X279" s="319"/>
      <c r="Y279" s="319"/>
      <c r="Z279" s="319"/>
      <c r="AA279" s="319"/>
      <c r="AB279" s="319"/>
      <c r="AC279" s="319"/>
      <c r="AD279" s="405"/>
      <c r="AE279" s="406"/>
      <c r="AF279" s="319"/>
    </row>
    <row r="280" spans="1:32" x14ac:dyDescent="0.25">
      <c r="A280" s="258"/>
      <c r="B280" s="319"/>
      <c r="C280" s="319"/>
      <c r="D280" s="319"/>
      <c r="E280" s="319"/>
      <c r="F280" s="319"/>
      <c r="G280" s="416"/>
      <c r="H280" s="415"/>
      <c r="I280" s="319"/>
      <c r="J280" s="407"/>
      <c r="K280" s="408"/>
      <c r="L280" s="409"/>
      <c r="M280" s="319"/>
      <c r="N280" s="319"/>
      <c r="O280" s="319"/>
      <c r="P280" s="319"/>
      <c r="Q280" s="319"/>
      <c r="R280" s="319"/>
      <c r="S280" s="319"/>
      <c r="T280" s="319"/>
      <c r="U280" s="319"/>
      <c r="V280" s="319"/>
      <c r="W280" s="319"/>
      <c r="X280" s="319"/>
      <c r="Y280" s="319"/>
      <c r="Z280" s="319"/>
      <c r="AA280" s="319"/>
      <c r="AB280" s="319"/>
      <c r="AC280" s="319"/>
      <c r="AD280" s="405"/>
      <c r="AE280" s="406"/>
      <c r="AF280" s="319"/>
    </row>
    <row r="281" spans="1:32" x14ac:dyDescent="0.25">
      <c r="A281" s="258"/>
      <c r="B281" s="319"/>
      <c r="C281" s="319"/>
      <c r="D281" s="319"/>
      <c r="E281" s="319"/>
      <c r="F281" s="401"/>
      <c r="G281" s="416"/>
      <c r="H281" s="415"/>
      <c r="I281" s="319"/>
      <c r="J281" s="407"/>
      <c r="K281" s="408"/>
      <c r="L281" s="409"/>
      <c r="M281" s="319"/>
      <c r="N281" s="319"/>
      <c r="O281" s="319"/>
      <c r="P281" s="319"/>
      <c r="Q281" s="319"/>
      <c r="R281" s="319"/>
      <c r="S281" s="319"/>
      <c r="T281" s="319"/>
      <c r="U281" s="319"/>
      <c r="V281" s="319"/>
      <c r="W281" s="319"/>
      <c r="X281" s="319"/>
      <c r="Y281" s="319"/>
      <c r="Z281" s="319"/>
      <c r="AA281" s="319"/>
      <c r="AB281" s="319"/>
      <c r="AC281" s="319"/>
      <c r="AD281" s="405"/>
      <c r="AE281" s="406"/>
      <c r="AF281" s="319"/>
    </row>
    <row r="282" spans="1:32" x14ac:dyDescent="0.25">
      <c r="A282" s="258"/>
      <c r="B282" s="319"/>
      <c r="C282" s="319"/>
      <c r="D282" s="319"/>
      <c r="E282" s="319"/>
      <c r="F282" s="319"/>
      <c r="G282" s="416"/>
      <c r="H282" s="415"/>
      <c r="I282" s="319"/>
      <c r="J282" s="407"/>
      <c r="K282" s="408"/>
      <c r="L282" s="409"/>
      <c r="M282" s="319"/>
      <c r="N282" s="319"/>
      <c r="O282" s="319"/>
      <c r="P282" s="319"/>
      <c r="Q282" s="319"/>
      <c r="R282" s="319"/>
      <c r="S282" s="319"/>
      <c r="T282" s="319"/>
      <c r="U282" s="319"/>
      <c r="V282" s="319"/>
      <c r="W282" s="319"/>
      <c r="X282" s="319"/>
      <c r="Y282" s="319"/>
      <c r="Z282" s="319"/>
      <c r="AA282" s="319"/>
      <c r="AB282" s="319"/>
      <c r="AC282" s="319"/>
      <c r="AD282" s="405"/>
      <c r="AE282" s="406"/>
      <c r="AF282" s="319"/>
    </row>
    <row r="283" spans="1:32" x14ac:dyDescent="0.25">
      <c r="A283" s="258"/>
      <c r="B283" s="319"/>
      <c r="C283" s="319"/>
      <c r="D283" s="319"/>
      <c r="E283" s="71"/>
      <c r="F283" s="401"/>
      <c r="G283" s="416"/>
      <c r="H283" s="415"/>
      <c r="I283" s="319"/>
      <c r="J283" s="407"/>
      <c r="K283" s="408"/>
      <c r="L283" s="409"/>
      <c r="M283" s="319"/>
      <c r="N283" s="319"/>
      <c r="O283" s="319"/>
      <c r="P283" s="319"/>
      <c r="Q283" s="319"/>
      <c r="R283" s="319"/>
      <c r="S283" s="319"/>
      <c r="T283" s="319"/>
      <c r="U283" s="319"/>
      <c r="V283" s="319"/>
      <c r="W283" s="319"/>
      <c r="X283" s="319"/>
      <c r="Y283" s="319"/>
      <c r="Z283" s="319"/>
      <c r="AA283" s="319"/>
      <c r="AB283" s="319"/>
      <c r="AC283" s="319"/>
      <c r="AD283" s="405"/>
      <c r="AE283" s="406"/>
      <c r="AF283" s="319"/>
    </row>
    <row r="284" spans="1:32" x14ac:dyDescent="0.25">
      <c r="A284" s="258"/>
      <c r="B284" s="319"/>
      <c r="C284" s="319"/>
      <c r="D284" s="319"/>
      <c r="E284" s="319"/>
      <c r="F284" s="319"/>
      <c r="G284" s="319"/>
      <c r="H284" s="319"/>
      <c r="I284" s="319"/>
      <c r="J284" s="407"/>
      <c r="K284" s="408"/>
      <c r="L284" s="409"/>
      <c r="M284" s="319"/>
      <c r="N284" s="319"/>
      <c r="O284" s="319"/>
      <c r="P284" s="319"/>
      <c r="Q284" s="319"/>
      <c r="R284" s="319"/>
      <c r="S284" s="319"/>
      <c r="T284" s="319"/>
      <c r="U284" s="319"/>
      <c r="V284" s="319"/>
      <c r="W284" s="319"/>
      <c r="X284" s="319"/>
      <c r="Y284" s="319"/>
      <c r="Z284" s="319"/>
      <c r="AA284" s="319"/>
      <c r="AB284" s="319"/>
      <c r="AC284" s="319"/>
      <c r="AD284" s="405"/>
      <c r="AE284" s="406"/>
      <c r="AF284" s="319"/>
    </row>
    <row r="285" spans="1:32" x14ac:dyDescent="0.25">
      <c r="A285" s="258"/>
      <c r="B285" s="319"/>
      <c r="C285" s="419"/>
      <c r="D285" s="319"/>
      <c r="E285" s="319"/>
      <c r="F285" s="401"/>
      <c r="G285" s="420"/>
      <c r="H285" s="411"/>
      <c r="I285" s="319"/>
      <c r="J285" s="407"/>
      <c r="K285" s="408"/>
      <c r="L285" s="409"/>
      <c r="M285" s="319"/>
      <c r="N285" s="319"/>
      <c r="O285" s="319"/>
      <c r="P285" s="319"/>
      <c r="Q285" s="319"/>
      <c r="R285" s="319"/>
      <c r="S285" s="319"/>
      <c r="T285" s="319"/>
      <c r="U285" s="319"/>
      <c r="V285" s="319"/>
      <c r="W285" s="319"/>
      <c r="X285" s="319"/>
      <c r="Y285" s="319"/>
      <c r="Z285" s="319"/>
      <c r="AA285" s="319"/>
      <c r="AB285" s="319"/>
      <c r="AC285" s="319"/>
      <c r="AD285" s="405"/>
      <c r="AE285" s="406"/>
      <c r="AF285" s="319"/>
    </row>
    <row r="286" spans="1:32" x14ac:dyDescent="0.25">
      <c r="A286" s="258"/>
      <c r="B286" s="319"/>
      <c r="C286" s="319"/>
      <c r="D286" s="319"/>
      <c r="E286" s="319"/>
      <c r="F286" s="320"/>
      <c r="G286" s="416"/>
      <c r="H286" s="319"/>
      <c r="I286" s="319"/>
      <c r="J286" s="407"/>
      <c r="K286" s="408"/>
      <c r="L286" s="409"/>
      <c r="M286" s="319"/>
      <c r="N286" s="319"/>
      <c r="O286" s="319"/>
      <c r="P286" s="319"/>
      <c r="Q286" s="319"/>
      <c r="R286" s="319"/>
      <c r="S286" s="319"/>
      <c r="T286" s="319"/>
      <c r="U286" s="319"/>
      <c r="V286" s="319"/>
      <c r="W286" s="319"/>
      <c r="X286" s="319"/>
      <c r="Y286" s="319"/>
      <c r="Z286" s="319"/>
      <c r="AA286" s="319"/>
      <c r="AB286" s="319"/>
      <c r="AC286" s="319"/>
      <c r="AD286" s="405"/>
      <c r="AE286" s="406"/>
      <c r="AF286" s="319"/>
    </row>
    <row r="287" spans="1:32" x14ac:dyDescent="0.25">
      <c r="A287" s="258"/>
      <c r="B287" s="319"/>
      <c r="C287" s="319"/>
      <c r="D287" s="319"/>
      <c r="E287" s="319"/>
      <c r="F287" s="320"/>
      <c r="G287" s="319"/>
      <c r="H287" s="411"/>
      <c r="I287" s="319"/>
      <c r="J287" s="407"/>
      <c r="K287" s="408"/>
      <c r="L287" s="409"/>
      <c r="M287" s="319"/>
      <c r="N287" s="319"/>
      <c r="O287" s="319"/>
      <c r="P287" s="319"/>
      <c r="Q287" s="319"/>
      <c r="R287" s="319"/>
      <c r="S287" s="319"/>
      <c r="T287" s="319"/>
      <c r="U287" s="319"/>
      <c r="V287" s="319"/>
      <c r="W287" s="319"/>
      <c r="X287" s="319"/>
      <c r="Y287" s="319"/>
      <c r="Z287" s="319"/>
      <c r="AA287" s="319"/>
      <c r="AB287" s="319"/>
      <c r="AC287" s="319"/>
      <c r="AD287" s="405"/>
      <c r="AE287" s="406"/>
      <c r="AF287" s="319"/>
    </row>
    <row r="288" spans="1:32" x14ac:dyDescent="0.25">
      <c r="A288" s="258"/>
      <c r="B288" s="319"/>
      <c r="C288" s="319"/>
      <c r="D288" s="319"/>
      <c r="E288" s="319"/>
      <c r="F288" s="320"/>
      <c r="G288" s="402"/>
      <c r="H288" s="411"/>
      <c r="I288" s="319"/>
      <c r="J288" s="319"/>
      <c r="K288" s="408"/>
      <c r="L288" s="409"/>
      <c r="M288" s="319"/>
      <c r="N288" s="319"/>
      <c r="O288" s="319"/>
      <c r="P288" s="319"/>
      <c r="Q288" s="319"/>
      <c r="R288" s="319"/>
      <c r="S288" s="319"/>
      <c r="T288" s="319"/>
      <c r="U288" s="319"/>
      <c r="V288" s="319"/>
      <c r="W288" s="319"/>
      <c r="X288" s="319"/>
      <c r="Y288" s="319"/>
      <c r="Z288" s="319"/>
      <c r="AA288" s="319"/>
      <c r="AB288" s="319"/>
      <c r="AC288" s="319"/>
      <c r="AD288" s="405"/>
      <c r="AE288" s="406"/>
      <c r="AF288" s="319"/>
    </row>
    <row r="289" spans="1:32" x14ac:dyDescent="0.25">
      <c r="A289" s="258"/>
      <c r="B289" s="319"/>
      <c r="C289" s="319"/>
      <c r="D289" s="319"/>
      <c r="E289" s="319"/>
      <c r="F289" s="320"/>
      <c r="G289" s="421"/>
      <c r="H289" s="411"/>
      <c r="I289" s="319"/>
      <c r="J289" s="319"/>
      <c r="K289" s="319"/>
      <c r="L289" s="319"/>
      <c r="M289" s="319"/>
      <c r="N289" s="319"/>
      <c r="O289" s="319"/>
      <c r="P289" s="319"/>
      <c r="Q289" s="319"/>
      <c r="R289" s="319"/>
      <c r="S289" s="319"/>
      <c r="T289" s="319"/>
      <c r="U289" s="319"/>
      <c r="V289" s="319"/>
      <c r="W289" s="319"/>
      <c r="X289" s="319"/>
      <c r="Y289" s="319"/>
      <c r="Z289" s="319"/>
      <c r="AA289" s="319"/>
      <c r="AB289" s="319"/>
      <c r="AC289" s="319"/>
      <c r="AD289" s="319"/>
      <c r="AE289" s="319"/>
      <c r="AF289" s="319"/>
    </row>
    <row r="290" spans="1:32" ht="15.6" customHeight="1" x14ac:dyDescent="0.25">
      <c r="A290" s="258"/>
      <c r="B290" s="319"/>
      <c r="C290" s="319"/>
      <c r="D290" s="319"/>
      <c r="E290" s="319"/>
      <c r="F290" s="320"/>
      <c r="G290" s="402"/>
      <c r="H290" s="411"/>
      <c r="I290" s="319"/>
      <c r="J290" s="319"/>
      <c r="K290" s="319"/>
      <c r="L290" s="319"/>
      <c r="M290" s="319"/>
      <c r="N290" s="319"/>
      <c r="O290" s="319"/>
      <c r="P290" s="319"/>
      <c r="Q290" s="319"/>
      <c r="R290" s="319"/>
      <c r="S290" s="319"/>
      <c r="T290" s="319"/>
      <c r="U290" s="319"/>
      <c r="V290" s="319"/>
      <c r="W290" s="319"/>
      <c r="X290" s="319"/>
      <c r="Y290" s="319"/>
      <c r="Z290" s="319"/>
      <c r="AA290" s="319"/>
      <c r="AB290" s="319"/>
      <c r="AC290" s="319"/>
      <c r="AD290" s="319"/>
      <c r="AE290" s="319"/>
      <c r="AF290" s="319"/>
    </row>
    <row r="291" spans="1:32" ht="15.6" customHeight="1" x14ac:dyDescent="0.25">
      <c r="A291" s="258"/>
      <c r="B291" s="319"/>
      <c r="C291" s="319"/>
      <c r="D291" s="319"/>
      <c r="E291" s="319"/>
      <c r="F291" s="320"/>
      <c r="G291" s="411"/>
      <c r="H291" s="411"/>
      <c r="I291" s="319"/>
      <c r="J291" s="319"/>
      <c r="K291" s="319"/>
      <c r="L291" s="319"/>
      <c r="M291" s="319"/>
      <c r="N291" s="319"/>
      <c r="O291" s="319"/>
      <c r="P291" s="319"/>
      <c r="Q291" s="319"/>
      <c r="R291" s="319"/>
      <c r="S291" s="319"/>
      <c r="T291" s="319"/>
      <c r="U291" s="319"/>
      <c r="V291" s="319"/>
      <c r="W291" s="319"/>
      <c r="X291" s="319"/>
      <c r="Y291" s="319"/>
      <c r="Z291" s="319"/>
      <c r="AA291" s="319"/>
      <c r="AB291" s="319"/>
      <c r="AC291" s="319"/>
      <c r="AD291" s="319"/>
      <c r="AE291" s="319"/>
      <c r="AF291" s="319"/>
    </row>
    <row r="292" spans="1:32" ht="15.6" customHeight="1" x14ac:dyDescent="0.25">
      <c r="A292" s="258"/>
      <c r="B292" s="319"/>
      <c r="C292" s="319"/>
      <c r="D292" s="319"/>
      <c r="E292" s="319"/>
      <c r="F292" s="320"/>
      <c r="G292" s="408"/>
      <c r="H292" s="411"/>
      <c r="I292" s="319"/>
      <c r="J292" s="319"/>
      <c r="K292" s="319"/>
      <c r="L292" s="319"/>
      <c r="M292" s="319"/>
      <c r="N292" s="319"/>
      <c r="O292" s="319"/>
      <c r="P292" s="319"/>
      <c r="Q292" s="319"/>
      <c r="R292" s="319"/>
      <c r="S292" s="319"/>
      <c r="T292" s="319"/>
      <c r="U292" s="319"/>
      <c r="V292" s="319"/>
      <c r="W292" s="319"/>
      <c r="X292" s="319"/>
      <c r="Y292" s="319"/>
      <c r="Z292" s="319"/>
      <c r="AA292" s="319"/>
      <c r="AB292" s="319"/>
      <c r="AC292" s="319"/>
      <c r="AD292" s="319"/>
      <c r="AE292" s="319"/>
      <c r="AF292" s="319"/>
    </row>
    <row r="293" spans="1:32" ht="15.6" customHeight="1" x14ac:dyDescent="0.25">
      <c r="A293" s="258"/>
      <c r="B293" s="319"/>
      <c r="C293" s="319"/>
      <c r="D293" s="319"/>
      <c r="E293" s="319"/>
      <c r="F293" s="320"/>
      <c r="G293" s="408"/>
      <c r="H293" s="411"/>
      <c r="I293" s="319"/>
      <c r="J293" s="319"/>
      <c r="K293" s="319"/>
      <c r="L293" s="319"/>
      <c r="M293" s="319"/>
      <c r="N293" s="319"/>
      <c r="O293" s="319"/>
      <c r="P293" s="319"/>
      <c r="Q293" s="319"/>
      <c r="R293" s="319"/>
      <c r="S293" s="319"/>
      <c r="T293" s="319"/>
      <c r="U293" s="319"/>
      <c r="V293" s="319"/>
      <c r="W293" s="319"/>
      <c r="X293" s="319"/>
      <c r="Y293" s="319"/>
      <c r="Z293" s="319"/>
      <c r="AA293" s="319"/>
      <c r="AB293" s="319"/>
      <c r="AC293" s="319"/>
      <c r="AD293" s="319"/>
      <c r="AE293" s="319"/>
      <c r="AF293" s="319"/>
    </row>
    <row r="294" spans="1:32" s="362" customFormat="1" ht="15.6" customHeight="1" x14ac:dyDescent="0.25">
      <c r="A294" s="319"/>
      <c r="B294" s="319"/>
      <c r="C294" s="319"/>
      <c r="D294" s="319"/>
      <c r="E294" s="319"/>
      <c r="F294" s="320"/>
      <c r="G294" s="408"/>
      <c r="H294" s="411"/>
      <c r="I294" s="319"/>
      <c r="J294" s="319"/>
      <c r="K294" s="319"/>
      <c r="L294" s="319"/>
      <c r="M294" s="319"/>
      <c r="N294" s="319"/>
      <c r="O294" s="319"/>
      <c r="P294" s="319"/>
      <c r="Q294" s="319"/>
      <c r="R294" s="319"/>
      <c r="S294" s="319"/>
      <c r="T294" s="319"/>
      <c r="U294" s="319"/>
      <c r="V294" s="319"/>
      <c r="W294" s="319"/>
      <c r="X294" s="319"/>
      <c r="Y294" s="319"/>
      <c r="Z294" s="319"/>
      <c r="AA294" s="319"/>
      <c r="AB294" s="319"/>
      <c r="AC294" s="319"/>
      <c r="AD294" s="319"/>
      <c r="AE294" s="319"/>
      <c r="AF294" s="319"/>
    </row>
    <row r="295" spans="1:32" ht="21" x14ac:dyDescent="0.35">
      <c r="A295" s="258"/>
      <c r="B295" s="403"/>
      <c r="C295" s="319"/>
      <c r="D295" s="515"/>
      <c r="E295" s="515"/>
      <c r="F295" s="515"/>
      <c r="G295" s="412"/>
      <c r="H295" s="413"/>
      <c r="I295" s="319"/>
      <c r="J295" s="319"/>
      <c r="K295" s="319"/>
      <c r="L295" s="319"/>
      <c r="M295" s="319"/>
      <c r="N295" s="319"/>
      <c r="O295" s="319"/>
      <c r="P295" s="319"/>
      <c r="Q295" s="319"/>
      <c r="R295" s="319"/>
      <c r="S295" s="319"/>
      <c r="T295" s="319"/>
      <c r="U295" s="319"/>
      <c r="V295" s="319"/>
      <c r="W295" s="319"/>
      <c r="X295" s="319"/>
      <c r="Y295" s="319"/>
      <c r="Z295" s="319"/>
      <c r="AA295" s="319"/>
      <c r="AB295" s="319"/>
      <c r="AC295" s="319"/>
      <c r="AD295" s="319"/>
      <c r="AE295" s="319"/>
      <c r="AF295" s="319"/>
    </row>
    <row r="296" spans="1:32" ht="21" x14ac:dyDescent="0.35">
      <c r="A296" s="258"/>
      <c r="B296" s="403"/>
      <c r="C296" s="319"/>
      <c r="D296" s="400"/>
      <c r="E296" s="400"/>
      <c r="F296" s="400"/>
      <c r="G296" s="400"/>
      <c r="H296" s="400"/>
      <c r="I296" s="319"/>
      <c r="J296" s="319"/>
      <c r="K296" s="319"/>
      <c r="L296" s="319"/>
      <c r="M296" s="319"/>
      <c r="N296" s="319"/>
      <c r="O296" s="319"/>
      <c r="P296" s="319"/>
      <c r="Q296" s="319"/>
      <c r="R296" s="319"/>
      <c r="S296" s="319"/>
      <c r="T296" s="319"/>
      <c r="U296" s="319"/>
      <c r="V296" s="319"/>
      <c r="W296" s="319"/>
      <c r="X296" s="319"/>
      <c r="Y296" s="319"/>
      <c r="Z296" s="319"/>
      <c r="AA296" s="319"/>
      <c r="AB296" s="319"/>
      <c r="AC296" s="319"/>
      <c r="AD296" s="319"/>
      <c r="AE296" s="319"/>
      <c r="AF296" s="319"/>
    </row>
    <row r="297" spans="1:32" ht="18" customHeight="1" x14ac:dyDescent="0.35">
      <c r="A297" s="258"/>
      <c r="B297" s="403"/>
      <c r="C297" s="319"/>
      <c r="D297" s="400"/>
      <c r="E297" s="400"/>
      <c r="F297" s="401"/>
      <c r="G297" s="414"/>
      <c r="H297" s="415"/>
      <c r="I297" s="319"/>
      <c r="J297" s="319"/>
      <c r="K297" s="319"/>
      <c r="L297" s="319"/>
      <c r="M297" s="319"/>
      <c r="N297" s="319"/>
      <c r="O297" s="319"/>
      <c r="P297" s="319"/>
      <c r="Q297" s="319"/>
      <c r="R297" s="319"/>
      <c r="S297" s="319"/>
      <c r="T297" s="319"/>
      <c r="U297" s="319"/>
      <c r="V297" s="319"/>
      <c r="W297" s="319"/>
      <c r="X297" s="319"/>
      <c r="Y297" s="319"/>
      <c r="Z297" s="319"/>
      <c r="AA297" s="319"/>
      <c r="AB297" s="319"/>
      <c r="AC297" s="319"/>
      <c r="AD297" s="319"/>
      <c r="AE297" s="319"/>
      <c r="AF297" s="319"/>
    </row>
    <row r="298" spans="1:32" ht="18" customHeight="1" x14ac:dyDescent="0.35">
      <c r="A298" s="258"/>
      <c r="B298" s="403"/>
      <c r="C298" s="319"/>
      <c r="D298" s="400"/>
      <c r="E298" s="400"/>
      <c r="F298" s="400"/>
      <c r="G298" s="400"/>
      <c r="H298" s="400"/>
      <c r="I298" s="319"/>
      <c r="J298" s="319"/>
      <c r="K298" s="319"/>
      <c r="L298" s="319"/>
      <c r="M298" s="319"/>
      <c r="N298" s="319"/>
      <c r="O298" s="319"/>
      <c r="P298" s="319"/>
      <c r="Q298" s="319"/>
      <c r="R298" s="319"/>
      <c r="S298" s="319"/>
      <c r="T298" s="319"/>
      <c r="U298" s="319"/>
      <c r="V298" s="319"/>
      <c r="W298" s="319"/>
      <c r="X298" s="319"/>
      <c r="Y298" s="319"/>
      <c r="Z298" s="319"/>
      <c r="AA298" s="319"/>
      <c r="AB298" s="319"/>
      <c r="AC298" s="319"/>
      <c r="AD298" s="319"/>
      <c r="AE298" s="319"/>
      <c r="AF298" s="319"/>
    </row>
    <row r="299" spans="1:32" ht="18" customHeight="1" x14ac:dyDescent="0.25">
      <c r="A299" s="258"/>
      <c r="B299" s="319"/>
      <c r="C299" s="319"/>
      <c r="D299" s="319"/>
      <c r="E299" s="319"/>
      <c r="F299" s="401"/>
      <c r="G299" s="416"/>
      <c r="H299" s="415"/>
      <c r="I299" s="319"/>
      <c r="J299" s="319"/>
      <c r="K299" s="319"/>
      <c r="L299" s="319"/>
      <c r="M299" s="319"/>
      <c r="N299" s="319"/>
      <c r="O299" s="319"/>
      <c r="P299" s="319"/>
      <c r="Q299" s="319"/>
      <c r="R299" s="319"/>
      <c r="S299" s="319"/>
      <c r="T299" s="319"/>
      <c r="U299" s="319"/>
      <c r="V299" s="319"/>
      <c r="W299" s="319"/>
      <c r="X299" s="319"/>
      <c r="Y299" s="319"/>
      <c r="Z299" s="319"/>
      <c r="AA299" s="319"/>
      <c r="AB299" s="319"/>
      <c r="AC299" s="319"/>
      <c r="AD299" s="319"/>
      <c r="AE299" s="319"/>
      <c r="AF299" s="319"/>
    </row>
    <row r="300" spans="1:32" x14ac:dyDescent="0.25">
      <c r="A300" s="258"/>
      <c r="B300" s="319"/>
      <c r="C300" s="319"/>
      <c r="D300" s="319"/>
      <c r="E300" s="319"/>
      <c r="F300" s="319"/>
      <c r="G300" s="319"/>
      <c r="H300" s="417"/>
      <c r="I300" s="319"/>
      <c r="J300" s="407"/>
      <c r="K300" s="408"/>
      <c r="L300" s="409"/>
      <c r="M300" s="319"/>
      <c r="N300" s="319"/>
      <c r="O300" s="319"/>
      <c r="P300" s="319"/>
      <c r="Q300" s="319"/>
      <c r="R300" s="319"/>
      <c r="S300" s="319"/>
      <c r="T300" s="319"/>
      <c r="U300" s="319"/>
      <c r="V300" s="319"/>
      <c r="W300" s="319"/>
      <c r="X300" s="319"/>
      <c r="Y300" s="319"/>
      <c r="Z300" s="319"/>
      <c r="AA300" s="319"/>
      <c r="AB300" s="319"/>
      <c r="AC300" s="319"/>
      <c r="AD300" s="405"/>
      <c r="AE300" s="406"/>
      <c r="AF300" s="319"/>
    </row>
    <row r="301" spans="1:32" x14ac:dyDescent="0.25">
      <c r="A301" s="258"/>
      <c r="B301" s="319"/>
      <c r="C301" s="418"/>
      <c r="D301" s="319"/>
      <c r="E301" s="319"/>
      <c r="F301" s="401"/>
      <c r="G301" s="416"/>
      <c r="H301" s="415"/>
      <c r="I301" s="319"/>
      <c r="J301" s="407"/>
      <c r="K301" s="408"/>
      <c r="L301" s="409"/>
      <c r="M301" s="319"/>
      <c r="N301" s="319"/>
      <c r="O301" s="319"/>
      <c r="P301" s="319"/>
      <c r="Q301" s="319"/>
      <c r="R301" s="319"/>
      <c r="S301" s="319"/>
      <c r="T301" s="319"/>
      <c r="U301" s="319"/>
      <c r="V301" s="319"/>
      <c r="W301" s="319"/>
      <c r="X301" s="319"/>
      <c r="Y301" s="319"/>
      <c r="Z301" s="319"/>
      <c r="AA301" s="319"/>
      <c r="AB301" s="319"/>
      <c r="AC301" s="319"/>
      <c r="AD301" s="405"/>
      <c r="AE301" s="406"/>
      <c r="AF301" s="319"/>
    </row>
    <row r="302" spans="1:32" x14ac:dyDescent="0.25">
      <c r="A302" s="258"/>
      <c r="B302" s="319"/>
      <c r="C302" s="319"/>
      <c r="D302" s="319"/>
      <c r="E302" s="319"/>
      <c r="F302" s="319"/>
      <c r="G302" s="416"/>
      <c r="H302" s="415"/>
      <c r="I302" s="319"/>
      <c r="J302" s="407"/>
      <c r="K302" s="408"/>
      <c r="L302" s="409"/>
      <c r="M302" s="319"/>
      <c r="N302" s="319"/>
      <c r="O302" s="319"/>
      <c r="P302" s="319"/>
      <c r="Q302" s="319"/>
      <c r="R302" s="319"/>
      <c r="S302" s="319"/>
      <c r="T302" s="319"/>
      <c r="U302" s="319"/>
      <c r="V302" s="319"/>
      <c r="W302" s="319"/>
      <c r="X302" s="319"/>
      <c r="Y302" s="319"/>
      <c r="Z302" s="319"/>
      <c r="AA302" s="319"/>
      <c r="AB302" s="319"/>
      <c r="AC302" s="319"/>
      <c r="AD302" s="405"/>
      <c r="AE302" s="406"/>
      <c r="AF302" s="319"/>
    </row>
    <row r="303" spans="1:32" x14ac:dyDescent="0.25">
      <c r="A303" s="258"/>
      <c r="B303" s="319"/>
      <c r="C303" s="319"/>
      <c r="D303" s="319"/>
      <c r="E303" s="319"/>
      <c r="F303" s="401"/>
      <c r="G303" s="416"/>
      <c r="H303" s="415"/>
      <c r="I303" s="319"/>
      <c r="J303" s="407"/>
      <c r="K303" s="408"/>
      <c r="L303" s="409"/>
      <c r="M303" s="319"/>
      <c r="N303" s="319"/>
      <c r="O303" s="319"/>
      <c r="P303" s="319"/>
      <c r="Q303" s="319"/>
      <c r="R303" s="319"/>
      <c r="S303" s="319"/>
      <c r="T303" s="319"/>
      <c r="U303" s="319"/>
      <c r="V303" s="319"/>
      <c r="W303" s="319"/>
      <c r="X303" s="319"/>
      <c r="Y303" s="319"/>
      <c r="Z303" s="319"/>
      <c r="AA303" s="319"/>
      <c r="AB303" s="319"/>
      <c r="AC303" s="319"/>
      <c r="AD303" s="405"/>
      <c r="AE303" s="406"/>
      <c r="AF303" s="319"/>
    </row>
    <row r="304" spans="1:32" x14ac:dyDescent="0.25">
      <c r="A304" s="258"/>
      <c r="B304" s="319"/>
      <c r="C304" s="319"/>
      <c r="D304" s="319"/>
      <c r="E304" s="319"/>
      <c r="F304" s="319"/>
      <c r="G304" s="416"/>
      <c r="H304" s="415"/>
      <c r="I304" s="319"/>
      <c r="J304" s="407"/>
      <c r="K304" s="408"/>
      <c r="L304" s="409"/>
      <c r="M304" s="319"/>
      <c r="N304" s="319"/>
      <c r="O304" s="319"/>
      <c r="P304" s="319"/>
      <c r="Q304" s="319"/>
      <c r="R304" s="319"/>
      <c r="S304" s="319"/>
      <c r="T304" s="319"/>
      <c r="U304" s="319"/>
      <c r="V304" s="319"/>
      <c r="W304" s="319"/>
      <c r="X304" s="319"/>
      <c r="Y304" s="319"/>
      <c r="Z304" s="319"/>
      <c r="AA304" s="319"/>
      <c r="AB304" s="319"/>
      <c r="AC304" s="319"/>
      <c r="AD304" s="405"/>
      <c r="AE304" s="406"/>
      <c r="AF304" s="319"/>
    </row>
    <row r="305" spans="1:32" x14ac:dyDescent="0.25">
      <c r="A305" s="258"/>
      <c r="B305" s="319"/>
      <c r="C305" s="319"/>
      <c r="D305" s="319"/>
      <c r="E305" s="71"/>
      <c r="F305" s="401"/>
      <c r="G305" s="416"/>
      <c r="H305" s="415"/>
      <c r="I305" s="319"/>
      <c r="J305" s="407"/>
      <c r="K305" s="408"/>
      <c r="L305" s="409"/>
      <c r="M305" s="319"/>
      <c r="N305" s="319"/>
      <c r="O305" s="319"/>
      <c r="P305" s="319"/>
      <c r="Q305" s="319"/>
      <c r="R305" s="319"/>
      <c r="S305" s="319"/>
      <c r="T305" s="319"/>
      <c r="U305" s="319"/>
      <c r="V305" s="319"/>
      <c r="W305" s="319"/>
      <c r="X305" s="319"/>
      <c r="Y305" s="319"/>
      <c r="Z305" s="319"/>
      <c r="AA305" s="319"/>
      <c r="AB305" s="319"/>
      <c r="AC305" s="319"/>
      <c r="AD305" s="405"/>
      <c r="AE305" s="406"/>
      <c r="AF305" s="319"/>
    </row>
    <row r="306" spans="1:32" x14ac:dyDescent="0.25">
      <c r="A306" s="258"/>
      <c r="B306" s="319"/>
      <c r="C306" s="319"/>
      <c r="D306" s="319"/>
      <c r="E306" s="319"/>
      <c r="F306" s="319"/>
      <c r="G306" s="319"/>
      <c r="H306" s="319"/>
      <c r="I306" s="319"/>
      <c r="J306" s="407"/>
      <c r="K306" s="408"/>
      <c r="L306" s="409"/>
      <c r="M306" s="319"/>
      <c r="N306" s="319"/>
      <c r="O306" s="319"/>
      <c r="P306" s="319"/>
      <c r="Q306" s="319"/>
      <c r="R306" s="319"/>
      <c r="S306" s="319"/>
      <c r="T306" s="319"/>
      <c r="U306" s="319"/>
      <c r="V306" s="319"/>
      <c r="W306" s="319"/>
      <c r="X306" s="319"/>
      <c r="Y306" s="319"/>
      <c r="Z306" s="319"/>
      <c r="AA306" s="319"/>
      <c r="AB306" s="319"/>
      <c r="AC306" s="319"/>
      <c r="AD306" s="405"/>
      <c r="AE306" s="406"/>
      <c r="AF306" s="319"/>
    </row>
    <row r="307" spans="1:32" x14ac:dyDescent="0.25">
      <c r="A307" s="258"/>
      <c r="B307" s="319"/>
      <c r="C307" s="419"/>
      <c r="D307" s="319"/>
      <c r="E307" s="319"/>
      <c r="F307" s="401"/>
      <c r="G307" s="420"/>
      <c r="H307" s="411"/>
      <c r="I307" s="319"/>
      <c r="J307" s="407"/>
      <c r="K307" s="408"/>
      <c r="L307" s="409"/>
      <c r="M307" s="319"/>
      <c r="N307" s="319"/>
      <c r="O307" s="319"/>
      <c r="P307" s="319"/>
      <c r="Q307" s="319"/>
      <c r="R307" s="319"/>
      <c r="S307" s="319"/>
      <c r="T307" s="319"/>
      <c r="U307" s="319"/>
      <c r="V307" s="319"/>
      <c r="W307" s="319"/>
      <c r="X307" s="319"/>
      <c r="Y307" s="319"/>
      <c r="Z307" s="319"/>
      <c r="AA307" s="319"/>
      <c r="AB307" s="319"/>
      <c r="AC307" s="319"/>
      <c r="AD307" s="405"/>
      <c r="AE307" s="406"/>
      <c r="AF307" s="319"/>
    </row>
    <row r="308" spans="1:32" x14ac:dyDescent="0.25">
      <c r="A308" s="258"/>
      <c r="B308" s="319"/>
      <c r="C308" s="319"/>
      <c r="D308" s="319"/>
      <c r="E308" s="319"/>
      <c r="F308" s="320"/>
      <c r="G308" s="416"/>
      <c r="H308" s="319"/>
      <c r="I308" s="319"/>
      <c r="J308" s="407"/>
      <c r="K308" s="408"/>
      <c r="L308" s="409"/>
      <c r="M308" s="319"/>
      <c r="N308" s="319"/>
      <c r="O308" s="319"/>
      <c r="P308" s="319"/>
      <c r="Q308" s="319"/>
      <c r="R308" s="319"/>
      <c r="S308" s="319"/>
      <c r="T308" s="319"/>
      <c r="U308" s="319"/>
      <c r="V308" s="319"/>
      <c r="W308" s="319"/>
      <c r="X308" s="319"/>
      <c r="Y308" s="319"/>
      <c r="Z308" s="319"/>
      <c r="AA308" s="319"/>
      <c r="AB308" s="319"/>
      <c r="AC308" s="319"/>
      <c r="AD308" s="405"/>
      <c r="AE308" s="406"/>
      <c r="AF308" s="319"/>
    </row>
    <row r="309" spans="1:32" x14ac:dyDescent="0.25">
      <c r="A309" s="258"/>
      <c r="B309" s="319"/>
      <c r="C309" s="319"/>
      <c r="D309" s="319"/>
      <c r="E309" s="319"/>
      <c r="F309" s="320"/>
      <c r="G309" s="319"/>
      <c r="H309" s="411"/>
      <c r="I309" s="319"/>
      <c r="J309" s="407"/>
      <c r="K309" s="408"/>
      <c r="L309" s="409"/>
      <c r="M309" s="319"/>
      <c r="N309" s="319"/>
      <c r="O309" s="319"/>
      <c r="P309" s="319"/>
      <c r="Q309" s="319"/>
      <c r="R309" s="319"/>
      <c r="S309" s="319"/>
      <c r="T309" s="319"/>
      <c r="U309" s="319"/>
      <c r="V309" s="319"/>
      <c r="W309" s="319"/>
      <c r="X309" s="319"/>
      <c r="Y309" s="319"/>
      <c r="Z309" s="319"/>
      <c r="AA309" s="319"/>
      <c r="AB309" s="319"/>
      <c r="AC309" s="319"/>
      <c r="AD309" s="405"/>
      <c r="AE309" s="406"/>
      <c r="AF309" s="319"/>
    </row>
    <row r="310" spans="1:32" x14ac:dyDescent="0.25">
      <c r="A310" s="258"/>
      <c r="B310" s="319"/>
      <c r="C310" s="319"/>
      <c r="D310" s="319"/>
      <c r="E310" s="319"/>
      <c r="F310" s="320"/>
      <c r="G310" s="402"/>
      <c r="H310" s="411"/>
      <c r="I310" s="319"/>
      <c r="J310" s="319"/>
      <c r="K310" s="408"/>
      <c r="L310" s="409"/>
      <c r="M310" s="319"/>
      <c r="N310" s="319"/>
      <c r="O310" s="319"/>
      <c r="P310" s="319"/>
      <c r="Q310" s="319"/>
      <c r="R310" s="319"/>
      <c r="S310" s="319"/>
      <c r="T310" s="319"/>
      <c r="U310" s="319"/>
      <c r="V310" s="319"/>
      <c r="W310" s="319"/>
      <c r="X310" s="319"/>
      <c r="Y310" s="319"/>
      <c r="Z310" s="319"/>
      <c r="AA310" s="319"/>
      <c r="AB310" s="319"/>
      <c r="AC310" s="319"/>
      <c r="AD310" s="405"/>
      <c r="AE310" s="406"/>
      <c r="AF310" s="319"/>
    </row>
    <row r="311" spans="1:32" x14ac:dyDescent="0.25">
      <c r="A311" s="258"/>
      <c r="B311" s="319"/>
      <c r="C311" s="319"/>
      <c r="D311" s="319"/>
      <c r="E311" s="319"/>
      <c r="F311" s="320"/>
      <c r="G311" s="421"/>
      <c r="H311" s="411"/>
      <c r="I311" s="319"/>
      <c r="J311" s="319"/>
      <c r="K311" s="319"/>
      <c r="L311" s="319"/>
      <c r="M311" s="319"/>
      <c r="N311" s="319"/>
      <c r="O311" s="319"/>
      <c r="P311" s="319"/>
      <c r="Q311" s="319"/>
      <c r="R311" s="319"/>
      <c r="S311" s="319"/>
      <c r="T311" s="319"/>
      <c r="U311" s="319"/>
      <c r="V311" s="319"/>
      <c r="W311" s="319"/>
      <c r="X311" s="319"/>
      <c r="Y311" s="319"/>
      <c r="Z311" s="319"/>
      <c r="AA311" s="319"/>
      <c r="AB311" s="319"/>
      <c r="AC311" s="319"/>
      <c r="AD311" s="319"/>
      <c r="AE311" s="319"/>
      <c r="AF311" s="319"/>
    </row>
    <row r="312" spans="1:32" x14ac:dyDescent="0.25">
      <c r="A312" s="258"/>
      <c r="B312" s="319"/>
      <c r="C312" s="319"/>
      <c r="D312" s="319"/>
      <c r="E312" s="319"/>
      <c r="F312" s="320"/>
      <c r="G312" s="402"/>
      <c r="H312" s="411"/>
      <c r="I312" s="319"/>
      <c r="J312" s="319"/>
      <c r="K312" s="319"/>
      <c r="L312" s="319"/>
      <c r="M312" s="319"/>
      <c r="N312" s="319"/>
      <c r="O312" s="319"/>
      <c r="P312" s="319"/>
      <c r="Q312" s="319"/>
      <c r="R312" s="319"/>
      <c r="S312" s="319"/>
      <c r="T312" s="319"/>
      <c r="U312" s="319"/>
      <c r="V312" s="319"/>
      <c r="W312" s="319"/>
      <c r="X312" s="319"/>
      <c r="Y312" s="319"/>
      <c r="Z312" s="319"/>
      <c r="AA312" s="319"/>
      <c r="AB312" s="319"/>
      <c r="AC312" s="319"/>
      <c r="AD312" s="319"/>
      <c r="AE312" s="319"/>
      <c r="AF312" s="319"/>
    </row>
    <row r="313" spans="1:32" x14ac:dyDescent="0.25">
      <c r="A313" s="258"/>
      <c r="B313" s="319"/>
      <c r="C313" s="319"/>
      <c r="D313" s="319"/>
      <c r="E313" s="319"/>
      <c r="F313" s="320"/>
      <c r="G313" s="411"/>
      <c r="H313" s="411"/>
      <c r="I313" s="319"/>
      <c r="J313" s="319"/>
      <c r="K313" s="319"/>
      <c r="L313" s="319"/>
      <c r="M313" s="319"/>
      <c r="N313" s="319"/>
      <c r="O313" s="319"/>
      <c r="P313" s="319"/>
      <c r="Q313" s="319"/>
      <c r="R313" s="319"/>
      <c r="S313" s="319"/>
      <c r="T313" s="319"/>
      <c r="U313" s="319"/>
      <c r="V313" s="319"/>
      <c r="W313" s="319"/>
      <c r="X313" s="319"/>
      <c r="Y313" s="319"/>
      <c r="Z313" s="319"/>
      <c r="AA313" s="319"/>
      <c r="AB313" s="319"/>
      <c r="AC313" s="319"/>
      <c r="AD313" s="319"/>
      <c r="AE313" s="319"/>
      <c r="AF313" s="319"/>
    </row>
    <row r="314" spans="1:32" x14ac:dyDescent="0.25">
      <c r="A314" s="258"/>
      <c r="B314" s="319"/>
      <c r="C314" s="319"/>
      <c r="D314" s="319"/>
      <c r="E314" s="319"/>
      <c r="F314" s="320"/>
      <c r="G314" s="408"/>
      <c r="H314" s="411"/>
      <c r="I314" s="319"/>
      <c r="J314" s="319"/>
      <c r="K314" s="319"/>
      <c r="L314" s="319"/>
      <c r="M314" s="319"/>
      <c r="N314" s="319"/>
      <c r="O314" s="319"/>
      <c r="P314" s="319"/>
      <c r="Q314" s="319"/>
      <c r="R314" s="319"/>
      <c r="S314" s="319"/>
      <c r="T314" s="319"/>
      <c r="U314" s="319"/>
      <c r="V314" s="319"/>
      <c r="W314" s="319"/>
      <c r="X314" s="319"/>
      <c r="Y314" s="319"/>
      <c r="Z314" s="319"/>
      <c r="AA314" s="319"/>
      <c r="AB314" s="319"/>
      <c r="AC314" s="319"/>
      <c r="AD314" s="319"/>
      <c r="AE314" s="319"/>
      <c r="AF314" s="319"/>
    </row>
    <row r="315" spans="1:32" x14ac:dyDescent="0.25">
      <c r="A315" s="258"/>
      <c r="B315" s="319"/>
      <c r="C315" s="319"/>
      <c r="D315" s="319"/>
      <c r="E315" s="319"/>
      <c r="F315" s="320"/>
      <c r="G315" s="408"/>
      <c r="H315" s="411"/>
      <c r="I315" s="319"/>
      <c r="J315" s="319"/>
      <c r="K315" s="319"/>
      <c r="L315" s="319"/>
      <c r="M315" s="319"/>
      <c r="N315" s="319"/>
      <c r="O315" s="319"/>
      <c r="P315" s="319"/>
      <c r="Q315" s="319"/>
      <c r="R315" s="319"/>
      <c r="S315" s="319"/>
      <c r="T315" s="319"/>
      <c r="U315" s="319"/>
      <c r="V315" s="319"/>
      <c r="W315" s="319"/>
      <c r="X315" s="319"/>
      <c r="Y315" s="319"/>
      <c r="Z315" s="319"/>
      <c r="AA315" s="319"/>
      <c r="AB315" s="319"/>
      <c r="AC315" s="319"/>
      <c r="AD315" s="319"/>
      <c r="AE315" s="319"/>
      <c r="AF315" s="319"/>
    </row>
    <row r="316" spans="1:32" s="362" customFormat="1" x14ac:dyDescent="0.25">
      <c r="A316" s="319"/>
      <c r="B316" s="319"/>
      <c r="C316" s="319"/>
      <c r="D316" s="319"/>
      <c r="E316" s="319"/>
      <c r="F316" s="320"/>
      <c r="G316" s="408"/>
      <c r="H316" s="411"/>
      <c r="I316" s="319"/>
      <c r="J316" s="319"/>
      <c r="K316" s="319"/>
      <c r="L316" s="319"/>
      <c r="M316" s="319"/>
      <c r="N316" s="319"/>
      <c r="O316" s="319"/>
      <c r="P316" s="319"/>
      <c r="Q316" s="319"/>
      <c r="R316" s="319"/>
      <c r="S316" s="319"/>
      <c r="T316" s="319"/>
      <c r="U316" s="319"/>
      <c r="V316" s="319"/>
      <c r="W316" s="319"/>
      <c r="X316" s="319"/>
      <c r="Y316" s="319"/>
      <c r="Z316" s="319"/>
      <c r="AA316" s="319"/>
      <c r="AB316" s="319"/>
      <c r="AC316" s="319"/>
      <c r="AD316" s="319"/>
      <c r="AE316" s="319"/>
      <c r="AF316" s="319"/>
    </row>
    <row r="317" spans="1:32" ht="21" x14ac:dyDescent="0.35">
      <c r="A317" s="258"/>
      <c r="B317" s="403"/>
      <c r="C317" s="319"/>
      <c r="D317" s="515"/>
      <c r="E317" s="515"/>
      <c r="F317" s="515"/>
      <c r="G317" s="412"/>
      <c r="H317" s="413"/>
      <c r="I317" s="319"/>
      <c r="J317" s="319"/>
      <c r="K317" s="319"/>
      <c r="L317" s="319"/>
      <c r="M317" s="319"/>
      <c r="N317" s="319"/>
      <c r="O317" s="319"/>
      <c r="P317" s="319"/>
      <c r="Q317" s="319"/>
      <c r="R317" s="319"/>
      <c r="S317" s="319"/>
      <c r="T317" s="319"/>
      <c r="U317" s="319"/>
      <c r="V317" s="319"/>
      <c r="W317" s="319"/>
      <c r="X317" s="319"/>
      <c r="Y317" s="319"/>
      <c r="Z317" s="319"/>
      <c r="AA317" s="319"/>
      <c r="AB317" s="319"/>
      <c r="AC317" s="319"/>
      <c r="AD317" s="319"/>
      <c r="AE317" s="319"/>
      <c r="AF317" s="319"/>
    </row>
    <row r="318" spans="1:32" ht="21" x14ac:dyDescent="0.35">
      <c r="A318" s="258"/>
      <c r="B318" s="403"/>
      <c r="C318" s="319"/>
      <c r="D318" s="400"/>
      <c r="E318" s="400"/>
      <c r="F318" s="400"/>
      <c r="G318" s="400"/>
      <c r="H318" s="400"/>
      <c r="I318" s="319"/>
      <c r="J318" s="319"/>
      <c r="K318" s="319"/>
      <c r="L318" s="319"/>
      <c r="M318" s="319"/>
      <c r="N318" s="319"/>
      <c r="O318" s="319"/>
      <c r="P318" s="319"/>
      <c r="Q318" s="319"/>
      <c r="R318" s="319"/>
      <c r="S318" s="319"/>
      <c r="T318" s="319"/>
      <c r="U318" s="319"/>
      <c r="V318" s="319"/>
      <c r="W318" s="319"/>
      <c r="X318" s="319"/>
      <c r="Y318" s="319"/>
      <c r="Z318" s="319"/>
      <c r="AA318" s="319"/>
      <c r="AB318" s="319"/>
      <c r="AC318" s="319"/>
      <c r="AD318" s="319"/>
      <c r="AE318" s="319"/>
      <c r="AF318" s="319"/>
    </row>
    <row r="319" spans="1:32" ht="21" x14ac:dyDescent="0.35">
      <c r="A319" s="258"/>
      <c r="B319" s="403"/>
      <c r="C319" s="319"/>
      <c r="D319" s="400"/>
      <c r="E319" s="400"/>
      <c r="F319" s="401"/>
      <c r="G319" s="414"/>
      <c r="H319" s="415"/>
      <c r="I319" s="319"/>
      <c r="J319" s="319"/>
      <c r="K319" s="319"/>
      <c r="L319" s="319"/>
      <c r="M319" s="319"/>
      <c r="N319" s="319"/>
      <c r="O319" s="319"/>
      <c r="P319" s="319"/>
      <c r="Q319" s="319"/>
      <c r="R319" s="319"/>
      <c r="S319" s="319"/>
      <c r="T319" s="319"/>
      <c r="U319" s="319"/>
      <c r="V319" s="319"/>
      <c r="W319" s="319"/>
      <c r="X319" s="319"/>
      <c r="Y319" s="319"/>
      <c r="Z319" s="319"/>
      <c r="AA319" s="319"/>
      <c r="AB319" s="319"/>
      <c r="AC319" s="319"/>
      <c r="AD319" s="319"/>
      <c r="AE319" s="319"/>
      <c r="AF319" s="319"/>
    </row>
    <row r="320" spans="1:32" ht="21" x14ac:dyDescent="0.35">
      <c r="A320" s="258"/>
      <c r="B320" s="403"/>
      <c r="C320" s="319"/>
      <c r="D320" s="400"/>
      <c r="E320" s="400"/>
      <c r="F320" s="400"/>
      <c r="G320" s="400"/>
      <c r="H320" s="400"/>
      <c r="I320" s="319"/>
      <c r="J320" s="319"/>
      <c r="K320" s="319"/>
      <c r="L320" s="319"/>
      <c r="M320" s="319"/>
      <c r="N320" s="319"/>
      <c r="O320" s="319"/>
      <c r="P320" s="319"/>
      <c r="Q320" s="319"/>
      <c r="R320" s="319"/>
      <c r="S320" s="319"/>
      <c r="T320" s="319"/>
      <c r="U320" s="319"/>
      <c r="V320" s="319"/>
      <c r="W320" s="319"/>
      <c r="X320" s="319"/>
      <c r="Y320" s="319"/>
      <c r="Z320" s="319"/>
      <c r="AA320" s="319"/>
      <c r="AB320" s="319"/>
      <c r="AC320" s="319"/>
      <c r="AD320" s="319"/>
      <c r="AE320" s="319"/>
      <c r="AF320" s="319"/>
    </row>
    <row r="321" spans="1:32" ht="18" customHeight="1" x14ac:dyDescent="0.25">
      <c r="A321" s="258"/>
      <c r="B321" s="319"/>
      <c r="C321" s="319"/>
      <c r="D321" s="319"/>
      <c r="E321" s="319"/>
      <c r="F321" s="401"/>
      <c r="G321" s="416"/>
      <c r="H321" s="415"/>
      <c r="I321" s="319"/>
      <c r="J321" s="319"/>
      <c r="K321" s="319"/>
      <c r="L321" s="319"/>
      <c r="M321" s="319"/>
      <c r="N321" s="319"/>
      <c r="O321" s="319"/>
      <c r="P321" s="319"/>
      <c r="Q321" s="319"/>
      <c r="R321" s="319"/>
      <c r="S321" s="319"/>
      <c r="T321" s="319"/>
      <c r="U321" s="319"/>
      <c r="V321" s="319"/>
      <c r="W321" s="319"/>
      <c r="X321" s="319"/>
      <c r="Y321" s="319"/>
      <c r="Z321" s="319"/>
      <c r="AA321" s="319"/>
      <c r="AB321" s="319"/>
      <c r="AC321" s="319"/>
      <c r="AD321" s="319"/>
      <c r="AE321" s="319"/>
      <c r="AF321" s="319"/>
    </row>
    <row r="322" spans="1:32" ht="18" customHeight="1" x14ac:dyDescent="0.25">
      <c r="A322" s="258"/>
      <c r="B322" s="319"/>
      <c r="C322" s="319"/>
      <c r="D322" s="319"/>
      <c r="E322" s="319"/>
      <c r="F322" s="319"/>
      <c r="G322" s="319"/>
      <c r="H322" s="417"/>
      <c r="I322" s="319"/>
      <c r="J322" s="407"/>
      <c r="K322" s="408"/>
      <c r="L322" s="409"/>
      <c r="M322" s="319"/>
      <c r="N322" s="319"/>
      <c r="O322" s="319"/>
      <c r="P322" s="319"/>
      <c r="Q322" s="319"/>
      <c r="R322" s="319"/>
      <c r="S322" s="319"/>
      <c r="T322" s="319"/>
      <c r="U322" s="319"/>
      <c r="V322" s="319"/>
      <c r="W322" s="319"/>
      <c r="X322" s="319"/>
      <c r="Y322" s="319"/>
      <c r="Z322" s="319"/>
      <c r="AA322" s="319"/>
      <c r="AB322" s="319"/>
      <c r="AC322" s="319"/>
      <c r="AD322" s="405"/>
      <c r="AE322" s="406"/>
      <c r="AF322" s="319"/>
    </row>
    <row r="323" spans="1:32" ht="18" customHeight="1" x14ac:dyDescent="0.25">
      <c r="A323" s="258"/>
      <c r="B323" s="319"/>
      <c r="C323" s="418"/>
      <c r="D323" s="319"/>
      <c r="E323" s="319"/>
      <c r="F323" s="401"/>
      <c r="G323" s="416"/>
      <c r="H323" s="415"/>
      <c r="I323" s="319"/>
      <c r="J323" s="407"/>
      <c r="K323" s="408"/>
      <c r="L323" s="409"/>
      <c r="M323" s="319"/>
      <c r="N323" s="319"/>
      <c r="O323" s="319"/>
      <c r="P323" s="319"/>
      <c r="Q323" s="319"/>
      <c r="R323" s="319"/>
      <c r="S323" s="319"/>
      <c r="T323" s="319"/>
      <c r="U323" s="319"/>
      <c r="V323" s="319"/>
      <c r="W323" s="319"/>
      <c r="X323" s="319"/>
      <c r="Y323" s="319"/>
      <c r="Z323" s="319"/>
      <c r="AA323" s="319"/>
      <c r="AB323" s="319"/>
      <c r="AC323" s="319"/>
      <c r="AD323" s="405"/>
      <c r="AE323" s="406"/>
      <c r="AF323" s="319"/>
    </row>
    <row r="324" spans="1:32" x14ac:dyDescent="0.25">
      <c r="A324" s="258"/>
      <c r="B324" s="319"/>
      <c r="C324" s="319"/>
      <c r="D324" s="319"/>
      <c r="E324" s="319"/>
      <c r="F324" s="319"/>
      <c r="G324" s="416"/>
      <c r="H324" s="415"/>
      <c r="I324" s="319"/>
      <c r="J324" s="407"/>
      <c r="K324" s="408"/>
      <c r="L324" s="409"/>
      <c r="M324" s="319"/>
      <c r="N324" s="319"/>
      <c r="O324" s="319"/>
      <c r="P324" s="319"/>
      <c r="Q324" s="319"/>
      <c r="R324" s="319"/>
      <c r="S324" s="319"/>
      <c r="T324" s="319"/>
      <c r="U324" s="319"/>
      <c r="V324" s="319"/>
      <c r="W324" s="319"/>
      <c r="X324" s="319"/>
      <c r="Y324" s="319"/>
      <c r="Z324" s="319"/>
      <c r="AA324" s="319"/>
      <c r="AB324" s="319"/>
      <c r="AC324" s="319"/>
      <c r="AD324" s="405"/>
      <c r="AE324" s="406"/>
      <c r="AF324" s="319"/>
    </row>
    <row r="325" spans="1:32" x14ac:dyDescent="0.25">
      <c r="A325" s="258"/>
      <c r="B325" s="319"/>
      <c r="C325" s="319"/>
      <c r="D325" s="319"/>
      <c r="E325" s="319"/>
      <c r="F325" s="401"/>
      <c r="G325" s="416"/>
      <c r="H325" s="415"/>
      <c r="I325" s="319"/>
      <c r="J325" s="407"/>
      <c r="K325" s="408"/>
      <c r="L325" s="409"/>
      <c r="M325" s="319"/>
      <c r="N325" s="319"/>
      <c r="O325" s="319"/>
      <c r="P325" s="319"/>
      <c r="Q325" s="319"/>
      <c r="R325" s="319"/>
      <c r="S325" s="319"/>
      <c r="T325" s="319"/>
      <c r="U325" s="319"/>
      <c r="V325" s="319"/>
      <c r="W325" s="319"/>
      <c r="X325" s="319"/>
      <c r="Y325" s="319"/>
      <c r="Z325" s="319"/>
      <c r="AA325" s="319"/>
      <c r="AB325" s="319"/>
      <c r="AC325" s="319"/>
      <c r="AD325" s="405"/>
      <c r="AE325" s="406"/>
      <c r="AF325" s="319"/>
    </row>
    <row r="326" spans="1:32" x14ac:dyDescent="0.25">
      <c r="A326" s="258"/>
      <c r="B326" s="319"/>
      <c r="C326" s="319"/>
      <c r="D326" s="319"/>
      <c r="E326" s="319"/>
      <c r="F326" s="319"/>
      <c r="G326" s="416"/>
      <c r="H326" s="415"/>
      <c r="I326" s="319"/>
      <c r="J326" s="407"/>
      <c r="K326" s="408"/>
      <c r="L326" s="409"/>
      <c r="M326" s="319"/>
      <c r="N326" s="319"/>
      <c r="O326" s="319"/>
      <c r="P326" s="319"/>
      <c r="Q326" s="319"/>
      <c r="R326" s="319"/>
      <c r="S326" s="319"/>
      <c r="T326" s="319"/>
      <c r="U326" s="319"/>
      <c r="V326" s="319"/>
      <c r="W326" s="319"/>
      <c r="X326" s="319"/>
      <c r="Y326" s="319"/>
      <c r="Z326" s="319"/>
      <c r="AA326" s="319"/>
      <c r="AB326" s="319"/>
      <c r="AC326" s="319"/>
      <c r="AD326" s="405"/>
      <c r="AE326" s="406"/>
      <c r="AF326" s="319"/>
    </row>
    <row r="327" spans="1:32" x14ac:dyDescent="0.25">
      <c r="A327" s="258"/>
      <c r="B327" s="319"/>
      <c r="C327" s="319"/>
      <c r="D327" s="319"/>
      <c r="E327" s="71"/>
      <c r="F327" s="401"/>
      <c r="G327" s="416"/>
      <c r="H327" s="415"/>
      <c r="I327" s="319"/>
      <c r="J327" s="407"/>
      <c r="K327" s="408"/>
      <c r="L327" s="409"/>
      <c r="M327" s="319"/>
      <c r="N327" s="319"/>
      <c r="O327" s="319"/>
      <c r="P327" s="319"/>
      <c r="Q327" s="319"/>
      <c r="R327" s="319"/>
      <c r="S327" s="319"/>
      <c r="T327" s="319"/>
      <c r="U327" s="319"/>
      <c r="V327" s="319"/>
      <c r="W327" s="319"/>
      <c r="X327" s="319"/>
      <c r="Y327" s="319"/>
      <c r="Z327" s="319"/>
      <c r="AA327" s="319"/>
      <c r="AB327" s="319"/>
      <c r="AC327" s="319"/>
      <c r="AD327" s="405"/>
      <c r="AE327" s="406"/>
      <c r="AF327" s="319"/>
    </row>
    <row r="328" spans="1:32" x14ac:dyDescent="0.25">
      <c r="A328" s="258"/>
      <c r="B328" s="319"/>
      <c r="C328" s="319"/>
      <c r="D328" s="319"/>
      <c r="E328" s="319"/>
      <c r="F328" s="319"/>
      <c r="G328" s="319"/>
      <c r="H328" s="319"/>
      <c r="I328" s="319"/>
      <c r="J328" s="407"/>
      <c r="K328" s="408"/>
      <c r="L328" s="409"/>
      <c r="M328" s="319"/>
      <c r="N328" s="319"/>
      <c r="O328" s="319"/>
      <c r="P328" s="319"/>
      <c r="Q328" s="319"/>
      <c r="R328" s="319"/>
      <c r="S328" s="319"/>
      <c r="T328" s="319"/>
      <c r="U328" s="319"/>
      <c r="V328" s="319"/>
      <c r="W328" s="319"/>
      <c r="X328" s="319"/>
      <c r="Y328" s="319"/>
      <c r="Z328" s="319"/>
      <c r="AA328" s="319"/>
      <c r="AB328" s="319"/>
      <c r="AC328" s="319"/>
      <c r="AD328" s="405"/>
      <c r="AE328" s="406"/>
      <c r="AF328" s="319"/>
    </row>
    <row r="329" spans="1:32" x14ac:dyDescent="0.25">
      <c r="A329" s="258"/>
      <c r="B329" s="319"/>
      <c r="C329" s="419"/>
      <c r="D329" s="319"/>
      <c r="E329" s="319"/>
      <c r="F329" s="401"/>
      <c r="G329" s="420"/>
      <c r="H329" s="411"/>
      <c r="I329" s="319"/>
      <c r="J329" s="407"/>
      <c r="K329" s="408"/>
      <c r="L329" s="409"/>
      <c r="M329" s="319"/>
      <c r="N329" s="319"/>
      <c r="O329" s="319"/>
      <c r="P329" s="319"/>
      <c r="Q329" s="319"/>
      <c r="R329" s="319"/>
      <c r="S329" s="319"/>
      <c r="T329" s="319"/>
      <c r="U329" s="319"/>
      <c r="V329" s="319"/>
      <c r="W329" s="319"/>
      <c r="X329" s="319"/>
      <c r="Y329" s="319"/>
      <c r="Z329" s="319"/>
      <c r="AA329" s="319"/>
      <c r="AB329" s="319"/>
      <c r="AC329" s="319"/>
      <c r="AD329" s="405"/>
      <c r="AE329" s="406"/>
      <c r="AF329" s="319"/>
    </row>
    <row r="330" spans="1:32" x14ac:dyDescent="0.25">
      <c r="A330" s="258"/>
      <c r="B330" s="319"/>
      <c r="C330" s="319"/>
      <c r="D330" s="319"/>
      <c r="E330" s="319"/>
      <c r="F330" s="320"/>
      <c r="G330" s="416"/>
      <c r="H330" s="319"/>
      <c r="I330" s="319"/>
      <c r="J330" s="407"/>
      <c r="K330" s="408"/>
      <c r="L330" s="409"/>
      <c r="M330" s="319"/>
      <c r="N330" s="319"/>
      <c r="O330" s="319"/>
      <c r="P330" s="319"/>
      <c r="Q330" s="319"/>
      <c r="R330" s="319"/>
      <c r="S330" s="319"/>
      <c r="T330" s="319"/>
      <c r="U330" s="319"/>
      <c r="V330" s="319"/>
      <c r="W330" s="319"/>
      <c r="X330" s="319"/>
      <c r="Y330" s="319"/>
      <c r="Z330" s="319"/>
      <c r="AA330" s="319"/>
      <c r="AB330" s="319"/>
      <c r="AC330" s="319"/>
      <c r="AD330" s="405"/>
      <c r="AE330" s="406"/>
      <c r="AF330" s="319"/>
    </row>
    <row r="331" spans="1:32" x14ac:dyDescent="0.25">
      <c r="A331" s="258"/>
      <c r="B331" s="319"/>
      <c r="C331" s="319"/>
      <c r="D331" s="319"/>
      <c r="E331" s="319"/>
      <c r="F331" s="320"/>
      <c r="G331" s="319"/>
      <c r="H331" s="411"/>
      <c r="I331" s="319"/>
      <c r="J331" s="407"/>
      <c r="K331" s="408"/>
      <c r="L331" s="409"/>
      <c r="M331" s="319"/>
      <c r="N331" s="319"/>
      <c r="O331" s="319"/>
      <c r="P331" s="319"/>
      <c r="Q331" s="319"/>
      <c r="R331" s="319"/>
      <c r="S331" s="319"/>
      <c r="T331" s="319"/>
      <c r="U331" s="319"/>
      <c r="V331" s="319"/>
      <c r="W331" s="319"/>
      <c r="X331" s="319"/>
      <c r="Y331" s="319"/>
      <c r="Z331" s="319"/>
      <c r="AA331" s="319"/>
      <c r="AB331" s="319"/>
      <c r="AC331" s="319"/>
      <c r="AD331" s="405"/>
      <c r="AE331" s="406"/>
      <c r="AF331" s="319"/>
    </row>
    <row r="332" spans="1:32" x14ac:dyDescent="0.25">
      <c r="A332" s="258"/>
      <c r="B332" s="319"/>
      <c r="C332" s="319"/>
      <c r="D332" s="319"/>
      <c r="E332" s="319"/>
      <c r="F332" s="320"/>
      <c r="G332" s="402"/>
      <c r="H332" s="411"/>
      <c r="I332" s="319"/>
      <c r="J332" s="319"/>
      <c r="K332" s="408"/>
      <c r="L332" s="409"/>
      <c r="M332" s="319"/>
      <c r="N332" s="319"/>
      <c r="O332" s="319"/>
      <c r="P332" s="319"/>
      <c r="Q332" s="319"/>
      <c r="R332" s="319"/>
      <c r="S332" s="319"/>
      <c r="T332" s="319"/>
      <c r="U332" s="319"/>
      <c r="V332" s="319"/>
      <c r="W332" s="319"/>
      <c r="X332" s="319"/>
      <c r="Y332" s="319"/>
      <c r="Z332" s="319"/>
      <c r="AA332" s="319"/>
      <c r="AB332" s="319"/>
      <c r="AC332" s="319"/>
      <c r="AD332" s="405"/>
      <c r="AE332" s="406"/>
      <c r="AF332" s="319"/>
    </row>
    <row r="333" spans="1:32" x14ac:dyDescent="0.25">
      <c r="A333" s="258"/>
      <c r="B333" s="319"/>
      <c r="C333" s="319"/>
      <c r="D333" s="319"/>
      <c r="E333" s="319"/>
      <c r="F333" s="320"/>
      <c r="G333" s="421"/>
      <c r="H333" s="411"/>
      <c r="I333" s="319"/>
      <c r="J333" s="319"/>
      <c r="K333" s="319"/>
      <c r="L333" s="319"/>
      <c r="M333" s="319"/>
      <c r="N333" s="319"/>
      <c r="O333" s="319"/>
      <c r="P333" s="319"/>
      <c r="Q333" s="319"/>
      <c r="R333" s="319"/>
      <c r="S333" s="319"/>
      <c r="T333" s="319"/>
      <c r="U333" s="319"/>
      <c r="V333" s="319"/>
      <c r="W333" s="319"/>
      <c r="X333" s="319"/>
      <c r="Y333" s="319"/>
      <c r="Z333" s="319"/>
      <c r="AA333" s="319"/>
      <c r="AB333" s="319"/>
      <c r="AC333" s="319"/>
      <c r="AD333" s="319"/>
      <c r="AE333" s="319"/>
      <c r="AF333" s="319"/>
    </row>
    <row r="334" spans="1:32" x14ac:dyDescent="0.25">
      <c r="A334" s="258"/>
      <c r="B334" s="319"/>
      <c r="C334" s="319"/>
      <c r="D334" s="319"/>
      <c r="E334" s="319"/>
      <c r="F334" s="320"/>
      <c r="G334" s="402"/>
      <c r="H334" s="411"/>
      <c r="I334" s="319"/>
      <c r="J334" s="319"/>
      <c r="K334" s="319"/>
      <c r="L334" s="319"/>
      <c r="M334" s="319"/>
      <c r="N334" s="319"/>
      <c r="O334" s="319"/>
      <c r="P334" s="319"/>
      <c r="Q334" s="319"/>
      <c r="R334" s="319"/>
      <c r="S334" s="319"/>
      <c r="T334" s="319"/>
      <c r="U334" s="319"/>
      <c r="V334" s="319"/>
      <c r="W334" s="319"/>
      <c r="X334" s="319"/>
      <c r="Y334" s="319"/>
      <c r="Z334" s="319"/>
      <c r="AA334" s="319"/>
      <c r="AB334" s="319"/>
      <c r="AC334" s="319"/>
      <c r="AD334" s="319"/>
      <c r="AE334" s="319"/>
      <c r="AF334" s="319"/>
    </row>
    <row r="335" spans="1:32" x14ac:dyDescent="0.25">
      <c r="A335" s="258"/>
      <c r="B335" s="319"/>
      <c r="C335" s="319"/>
      <c r="D335" s="319"/>
      <c r="E335" s="319"/>
      <c r="F335" s="320"/>
      <c r="G335" s="411"/>
      <c r="H335" s="411"/>
      <c r="I335" s="319"/>
      <c r="J335" s="319"/>
      <c r="K335" s="319"/>
      <c r="L335" s="319"/>
      <c r="M335" s="319"/>
      <c r="N335" s="319"/>
      <c r="O335" s="319"/>
      <c r="P335" s="319"/>
      <c r="Q335" s="319"/>
      <c r="R335" s="319"/>
      <c r="S335" s="319"/>
      <c r="T335" s="319"/>
      <c r="U335" s="319"/>
      <c r="V335" s="319"/>
      <c r="W335" s="319"/>
      <c r="X335" s="319"/>
      <c r="Y335" s="319"/>
      <c r="Z335" s="319"/>
      <c r="AA335" s="319"/>
      <c r="AB335" s="319"/>
      <c r="AC335" s="319"/>
      <c r="AD335" s="319"/>
      <c r="AE335" s="319"/>
      <c r="AF335" s="319"/>
    </row>
    <row r="336" spans="1:32" x14ac:dyDescent="0.25">
      <c r="A336" s="258"/>
      <c r="B336" s="319"/>
      <c r="C336" s="319"/>
      <c r="D336" s="319"/>
      <c r="E336" s="319"/>
      <c r="F336" s="320"/>
      <c r="G336" s="408"/>
      <c r="H336" s="411"/>
      <c r="I336" s="319"/>
      <c r="J336" s="319"/>
      <c r="K336" s="319"/>
      <c r="L336" s="319"/>
      <c r="M336" s="319"/>
      <c r="N336" s="319"/>
      <c r="O336" s="319"/>
      <c r="P336" s="319"/>
      <c r="Q336" s="319"/>
      <c r="R336" s="319"/>
      <c r="S336" s="319"/>
      <c r="T336" s="319"/>
      <c r="U336" s="319"/>
      <c r="V336" s="319"/>
      <c r="W336" s="319"/>
      <c r="X336" s="319"/>
      <c r="Y336" s="319"/>
      <c r="Z336" s="319"/>
      <c r="AA336" s="319"/>
      <c r="AB336" s="319"/>
      <c r="AC336" s="319"/>
      <c r="AD336" s="319"/>
      <c r="AE336" s="319"/>
      <c r="AF336" s="319"/>
    </row>
    <row r="337" spans="1:32" x14ac:dyDescent="0.25">
      <c r="A337" s="258"/>
      <c r="B337" s="319"/>
      <c r="C337" s="319"/>
      <c r="D337" s="319"/>
      <c r="E337" s="319"/>
      <c r="F337" s="320"/>
      <c r="G337" s="408"/>
      <c r="H337" s="411"/>
      <c r="I337" s="319"/>
      <c r="J337" s="319"/>
      <c r="K337" s="319"/>
      <c r="L337" s="319"/>
      <c r="M337" s="319"/>
      <c r="N337" s="319"/>
      <c r="O337" s="319"/>
      <c r="P337" s="319"/>
      <c r="Q337" s="319"/>
      <c r="R337" s="319"/>
      <c r="S337" s="319"/>
      <c r="T337" s="319"/>
      <c r="U337" s="319"/>
      <c r="V337" s="319"/>
      <c r="W337" s="319"/>
      <c r="X337" s="319"/>
      <c r="Y337" s="319"/>
      <c r="Z337" s="319"/>
      <c r="AA337" s="319"/>
      <c r="AB337" s="319"/>
      <c r="AC337" s="319"/>
      <c r="AD337" s="319"/>
      <c r="AE337" s="319"/>
      <c r="AF337" s="319"/>
    </row>
    <row r="338" spans="1:32" s="362" customFormat="1" x14ac:dyDescent="0.25">
      <c r="A338" s="319"/>
      <c r="B338" s="319"/>
      <c r="C338" s="319"/>
      <c r="D338" s="319"/>
      <c r="E338" s="319"/>
      <c r="F338" s="320"/>
      <c r="G338" s="408"/>
      <c r="H338" s="411"/>
      <c r="I338" s="319"/>
      <c r="J338" s="319"/>
      <c r="K338" s="319"/>
      <c r="L338" s="319"/>
      <c r="M338" s="319"/>
      <c r="N338" s="319"/>
      <c r="O338" s="319"/>
      <c r="P338" s="319"/>
      <c r="Q338" s="319"/>
      <c r="R338" s="319"/>
      <c r="S338" s="319"/>
      <c r="T338" s="319"/>
      <c r="U338" s="319"/>
      <c r="V338" s="319"/>
      <c r="W338" s="319"/>
      <c r="X338" s="319"/>
      <c r="Y338" s="319"/>
      <c r="Z338" s="319"/>
      <c r="AA338" s="319"/>
      <c r="AB338" s="319"/>
      <c r="AC338" s="319"/>
      <c r="AD338" s="319"/>
      <c r="AE338" s="319"/>
      <c r="AF338" s="319"/>
    </row>
    <row r="339" spans="1:32" ht="21" x14ac:dyDescent="0.35">
      <c r="A339" s="258"/>
      <c r="B339" s="403"/>
      <c r="C339" s="319"/>
      <c r="D339" s="515"/>
      <c r="E339" s="515"/>
      <c r="F339" s="515"/>
      <c r="G339" s="412"/>
      <c r="H339" s="413"/>
      <c r="I339" s="319"/>
      <c r="J339" s="319"/>
      <c r="K339" s="319"/>
      <c r="L339" s="319"/>
      <c r="M339" s="319"/>
      <c r="N339" s="319"/>
      <c r="O339" s="319"/>
      <c r="P339" s="319"/>
      <c r="Q339" s="319"/>
      <c r="R339" s="319"/>
      <c r="S339" s="319"/>
      <c r="T339" s="319"/>
      <c r="U339" s="319"/>
      <c r="V339" s="319"/>
      <c r="W339" s="319"/>
      <c r="X339" s="319"/>
      <c r="Y339" s="319"/>
      <c r="Z339" s="319"/>
      <c r="AA339" s="319"/>
      <c r="AB339" s="319"/>
      <c r="AC339" s="319"/>
      <c r="AD339" s="319"/>
      <c r="AE339" s="319"/>
      <c r="AF339" s="319"/>
    </row>
    <row r="340" spans="1:32" ht="21" x14ac:dyDescent="0.35">
      <c r="A340" s="258"/>
      <c r="B340" s="403"/>
      <c r="C340" s="319"/>
      <c r="D340" s="400"/>
      <c r="E340" s="400"/>
      <c r="F340" s="400"/>
      <c r="G340" s="400"/>
      <c r="H340" s="400"/>
      <c r="I340" s="319"/>
      <c r="J340" s="319"/>
      <c r="K340" s="319"/>
      <c r="L340" s="319"/>
      <c r="M340" s="319"/>
      <c r="N340" s="319"/>
      <c r="O340" s="319"/>
      <c r="P340" s="319"/>
      <c r="Q340" s="319"/>
      <c r="R340" s="319"/>
      <c r="S340" s="319"/>
      <c r="T340" s="319"/>
      <c r="U340" s="319"/>
      <c r="V340" s="319"/>
      <c r="W340" s="319"/>
      <c r="X340" s="319"/>
      <c r="Y340" s="319"/>
      <c r="Z340" s="319"/>
      <c r="AA340" s="319"/>
      <c r="AB340" s="319"/>
      <c r="AC340" s="319"/>
      <c r="AD340" s="319"/>
      <c r="AE340" s="319"/>
      <c r="AF340" s="319"/>
    </row>
    <row r="341" spans="1:32" ht="21" x14ac:dyDescent="0.35">
      <c r="A341" s="258"/>
      <c r="B341" s="403"/>
      <c r="C341" s="319"/>
      <c r="D341" s="400"/>
      <c r="E341" s="400"/>
      <c r="F341" s="401"/>
      <c r="G341" s="414"/>
      <c r="H341" s="415"/>
      <c r="I341" s="319"/>
      <c r="J341" s="319"/>
      <c r="K341" s="319"/>
      <c r="L341" s="319"/>
      <c r="M341" s="319"/>
      <c r="N341" s="319"/>
      <c r="O341" s="319"/>
      <c r="P341" s="319"/>
      <c r="Q341" s="319"/>
      <c r="R341" s="319"/>
      <c r="S341" s="319"/>
      <c r="T341" s="319"/>
      <c r="U341" s="319"/>
      <c r="V341" s="319"/>
      <c r="W341" s="319"/>
      <c r="X341" s="319"/>
      <c r="Y341" s="319"/>
      <c r="Z341" s="319"/>
      <c r="AA341" s="319"/>
      <c r="AB341" s="319"/>
      <c r="AC341" s="319"/>
      <c r="AD341" s="319"/>
      <c r="AE341" s="319"/>
      <c r="AF341" s="319"/>
    </row>
    <row r="342" spans="1:32" ht="21" x14ac:dyDescent="0.35">
      <c r="A342" s="258"/>
      <c r="B342" s="403"/>
      <c r="C342" s="319"/>
      <c r="D342" s="400"/>
      <c r="E342" s="400"/>
      <c r="F342" s="400"/>
      <c r="G342" s="400"/>
      <c r="H342" s="400"/>
      <c r="I342" s="319"/>
      <c r="J342" s="319"/>
      <c r="K342" s="319"/>
      <c r="L342" s="319"/>
      <c r="M342" s="319"/>
      <c r="N342" s="319"/>
      <c r="O342" s="319"/>
      <c r="P342" s="319"/>
      <c r="Q342" s="319"/>
      <c r="R342" s="319"/>
      <c r="S342" s="319"/>
      <c r="T342" s="319"/>
      <c r="U342" s="319"/>
      <c r="V342" s="319"/>
      <c r="W342" s="319"/>
      <c r="X342" s="319"/>
      <c r="Y342" s="319"/>
      <c r="Z342" s="319"/>
      <c r="AA342" s="319"/>
      <c r="AB342" s="319"/>
      <c r="AC342" s="319"/>
      <c r="AD342" s="319"/>
      <c r="AE342" s="319"/>
      <c r="AF342" s="319"/>
    </row>
    <row r="343" spans="1:32" x14ac:dyDescent="0.25">
      <c r="A343" s="258"/>
      <c r="B343" s="319"/>
      <c r="C343" s="319"/>
      <c r="D343" s="319"/>
      <c r="E343" s="319"/>
      <c r="F343" s="401"/>
      <c r="G343" s="416"/>
      <c r="H343" s="415"/>
      <c r="I343" s="319"/>
      <c r="J343" s="319"/>
      <c r="K343" s="319"/>
      <c r="L343" s="319"/>
      <c r="M343" s="319"/>
      <c r="N343" s="319"/>
      <c r="O343" s="319"/>
      <c r="P343" s="319"/>
      <c r="Q343" s="319"/>
      <c r="R343" s="319"/>
      <c r="S343" s="319"/>
      <c r="T343" s="319"/>
      <c r="U343" s="319"/>
      <c r="V343" s="319"/>
      <c r="W343" s="319"/>
      <c r="X343" s="319"/>
      <c r="Y343" s="319"/>
      <c r="Z343" s="319"/>
      <c r="AA343" s="319"/>
      <c r="AB343" s="319"/>
      <c r="AC343" s="319"/>
      <c r="AD343" s="319"/>
      <c r="AE343" s="319"/>
      <c r="AF343" s="319"/>
    </row>
    <row r="344" spans="1:32" x14ac:dyDescent="0.25">
      <c r="A344" s="258"/>
      <c r="B344" s="319"/>
      <c r="C344" s="319"/>
      <c r="D344" s="319"/>
      <c r="E344" s="319"/>
      <c r="F344" s="319"/>
      <c r="G344" s="319"/>
      <c r="H344" s="417"/>
      <c r="I344" s="319"/>
      <c r="J344" s="407"/>
      <c r="K344" s="408"/>
      <c r="L344" s="409"/>
      <c r="M344" s="319"/>
      <c r="N344" s="319"/>
      <c r="O344" s="319"/>
      <c r="P344" s="319"/>
      <c r="Q344" s="319"/>
      <c r="R344" s="319"/>
      <c r="S344" s="319"/>
      <c r="T344" s="319"/>
      <c r="U344" s="319"/>
      <c r="V344" s="319"/>
      <c r="W344" s="319"/>
      <c r="X344" s="319"/>
      <c r="Y344" s="319"/>
      <c r="Z344" s="319"/>
      <c r="AA344" s="319"/>
      <c r="AB344" s="319"/>
      <c r="AC344" s="319"/>
      <c r="AD344" s="405"/>
      <c r="AE344" s="406"/>
      <c r="AF344" s="319"/>
    </row>
    <row r="345" spans="1:32" ht="18" customHeight="1" x14ac:dyDescent="0.25">
      <c r="A345" s="258"/>
      <c r="B345" s="319"/>
      <c r="C345" s="418"/>
      <c r="D345" s="319"/>
      <c r="E345" s="319"/>
      <c r="F345" s="401"/>
      <c r="G345" s="416"/>
      <c r="H345" s="415"/>
      <c r="I345" s="319"/>
      <c r="J345" s="407"/>
      <c r="K345" s="408"/>
      <c r="L345" s="409"/>
      <c r="M345" s="319"/>
      <c r="N345" s="319"/>
      <c r="O345" s="319"/>
      <c r="P345" s="319"/>
      <c r="Q345" s="319"/>
      <c r="R345" s="319"/>
      <c r="S345" s="319"/>
      <c r="T345" s="319"/>
      <c r="U345" s="319"/>
      <c r="V345" s="319"/>
      <c r="W345" s="319"/>
      <c r="X345" s="319"/>
      <c r="Y345" s="319"/>
      <c r="Z345" s="319"/>
      <c r="AA345" s="319"/>
      <c r="AB345" s="319"/>
      <c r="AC345" s="319"/>
      <c r="AD345" s="405"/>
      <c r="AE345" s="406"/>
      <c r="AF345" s="319"/>
    </row>
    <row r="346" spans="1:32" ht="18" customHeight="1" x14ac:dyDescent="0.25">
      <c r="A346" s="258"/>
      <c r="B346" s="319"/>
      <c r="C346" s="319"/>
      <c r="D346" s="319"/>
      <c r="E346" s="319"/>
      <c r="F346" s="319"/>
      <c r="G346" s="416"/>
      <c r="H346" s="415"/>
      <c r="I346" s="319"/>
      <c r="J346" s="407"/>
      <c r="K346" s="408"/>
      <c r="L346" s="409"/>
      <c r="M346" s="319"/>
      <c r="N346" s="319"/>
      <c r="O346" s="319"/>
      <c r="P346" s="319"/>
      <c r="Q346" s="319"/>
      <c r="R346" s="319"/>
      <c r="S346" s="319"/>
      <c r="T346" s="319"/>
      <c r="U346" s="319"/>
      <c r="V346" s="319"/>
      <c r="W346" s="319"/>
      <c r="X346" s="319"/>
      <c r="Y346" s="319"/>
      <c r="Z346" s="319"/>
      <c r="AA346" s="319"/>
      <c r="AB346" s="319"/>
      <c r="AC346" s="319"/>
      <c r="AD346" s="405"/>
      <c r="AE346" s="406"/>
      <c r="AF346" s="319"/>
    </row>
    <row r="347" spans="1:32" ht="18" customHeight="1" x14ac:dyDescent="0.25">
      <c r="A347" s="258"/>
      <c r="B347" s="319"/>
      <c r="C347" s="319"/>
      <c r="D347" s="319"/>
      <c r="E347" s="319"/>
      <c r="F347" s="401"/>
      <c r="G347" s="416"/>
      <c r="H347" s="415"/>
      <c r="I347" s="319"/>
      <c r="J347" s="407"/>
      <c r="K347" s="408"/>
      <c r="L347" s="409"/>
      <c r="M347" s="319"/>
      <c r="N347" s="319"/>
      <c r="O347" s="319"/>
      <c r="P347" s="319"/>
      <c r="Q347" s="319"/>
      <c r="R347" s="319"/>
      <c r="S347" s="319"/>
      <c r="T347" s="319"/>
      <c r="U347" s="319"/>
      <c r="V347" s="319"/>
      <c r="W347" s="319"/>
      <c r="X347" s="319"/>
      <c r="Y347" s="319"/>
      <c r="Z347" s="319"/>
      <c r="AA347" s="319"/>
      <c r="AB347" s="319"/>
      <c r="AC347" s="319"/>
      <c r="AD347" s="405"/>
      <c r="AE347" s="406"/>
      <c r="AF347" s="319"/>
    </row>
    <row r="348" spans="1:32" x14ac:dyDescent="0.25">
      <c r="A348" s="258"/>
      <c r="B348" s="319"/>
      <c r="C348" s="319"/>
      <c r="D348" s="319"/>
      <c r="E348" s="319"/>
      <c r="F348" s="319"/>
      <c r="G348" s="416"/>
      <c r="H348" s="415"/>
      <c r="I348" s="319"/>
      <c r="J348" s="407"/>
      <c r="K348" s="408"/>
      <c r="L348" s="409"/>
      <c r="M348" s="319"/>
      <c r="N348" s="319"/>
      <c r="O348" s="319"/>
      <c r="P348" s="319"/>
      <c r="Q348" s="319"/>
      <c r="R348" s="319"/>
      <c r="S348" s="319"/>
      <c r="T348" s="319"/>
      <c r="U348" s="319"/>
      <c r="V348" s="319"/>
      <c r="W348" s="319"/>
      <c r="X348" s="319"/>
      <c r="Y348" s="319"/>
      <c r="Z348" s="319"/>
      <c r="AA348" s="319"/>
      <c r="AB348" s="319"/>
      <c r="AC348" s="319"/>
      <c r="AD348" s="405"/>
      <c r="AE348" s="406"/>
      <c r="AF348" s="319"/>
    </row>
    <row r="349" spans="1:32" x14ac:dyDescent="0.25">
      <c r="A349" s="258"/>
      <c r="B349" s="319"/>
      <c r="C349" s="319"/>
      <c r="D349" s="319"/>
      <c r="E349" s="71"/>
      <c r="F349" s="401"/>
      <c r="G349" s="416"/>
      <c r="H349" s="415"/>
      <c r="I349" s="319"/>
      <c r="J349" s="407"/>
      <c r="K349" s="408"/>
      <c r="L349" s="409"/>
      <c r="M349" s="319"/>
      <c r="N349" s="319"/>
      <c r="O349" s="319"/>
      <c r="P349" s="319"/>
      <c r="Q349" s="319"/>
      <c r="R349" s="319"/>
      <c r="S349" s="319"/>
      <c r="T349" s="319"/>
      <c r="U349" s="319"/>
      <c r="V349" s="319"/>
      <c r="W349" s="319"/>
      <c r="X349" s="319"/>
      <c r="Y349" s="319"/>
      <c r="Z349" s="319"/>
      <c r="AA349" s="319"/>
      <c r="AB349" s="319"/>
      <c r="AC349" s="319"/>
      <c r="AD349" s="405"/>
      <c r="AE349" s="406"/>
      <c r="AF349" s="319"/>
    </row>
    <row r="350" spans="1:32" x14ac:dyDescent="0.25">
      <c r="A350" s="258"/>
      <c r="B350" s="319"/>
      <c r="C350" s="319"/>
      <c r="D350" s="319"/>
      <c r="E350" s="319"/>
      <c r="F350" s="319"/>
      <c r="G350" s="319"/>
      <c r="H350" s="319"/>
      <c r="I350" s="319"/>
      <c r="J350" s="407"/>
      <c r="K350" s="408"/>
      <c r="L350" s="409"/>
      <c r="M350" s="319"/>
      <c r="N350" s="319"/>
      <c r="O350" s="319"/>
      <c r="P350" s="319"/>
      <c r="Q350" s="319"/>
      <c r="R350" s="319"/>
      <c r="S350" s="319"/>
      <c r="T350" s="319"/>
      <c r="U350" s="319"/>
      <c r="V350" s="319"/>
      <c r="W350" s="319"/>
      <c r="X350" s="319"/>
      <c r="Y350" s="319"/>
      <c r="Z350" s="319"/>
      <c r="AA350" s="319"/>
      <c r="AB350" s="319"/>
      <c r="AC350" s="319"/>
      <c r="AD350" s="405"/>
      <c r="AE350" s="406"/>
      <c r="AF350" s="319"/>
    </row>
    <row r="351" spans="1:32" x14ac:dyDescent="0.25">
      <c r="A351" s="258"/>
      <c r="B351" s="319"/>
      <c r="C351" s="419"/>
      <c r="D351" s="319"/>
      <c r="E351" s="319"/>
      <c r="F351" s="401"/>
      <c r="G351" s="420"/>
      <c r="H351" s="411"/>
      <c r="I351" s="319"/>
      <c r="J351" s="407"/>
      <c r="K351" s="408"/>
      <c r="L351" s="409"/>
      <c r="M351" s="319"/>
      <c r="N351" s="319"/>
      <c r="O351" s="319"/>
      <c r="P351" s="319"/>
      <c r="Q351" s="319"/>
      <c r="R351" s="319"/>
      <c r="S351" s="319"/>
      <c r="T351" s="319"/>
      <c r="U351" s="319"/>
      <c r="V351" s="319"/>
      <c r="W351" s="319"/>
      <c r="X351" s="319"/>
      <c r="Y351" s="319"/>
      <c r="Z351" s="319"/>
      <c r="AA351" s="319"/>
      <c r="AB351" s="319"/>
      <c r="AC351" s="319"/>
      <c r="AD351" s="405"/>
      <c r="AE351" s="406"/>
      <c r="AF351" s="319"/>
    </row>
    <row r="352" spans="1:32" x14ac:dyDescent="0.25">
      <c r="A352" s="258"/>
      <c r="B352" s="319"/>
      <c r="C352" s="319"/>
      <c r="D352" s="319"/>
      <c r="E352" s="319"/>
      <c r="F352" s="320"/>
      <c r="G352" s="416"/>
      <c r="H352" s="319"/>
      <c r="I352" s="319"/>
      <c r="J352" s="407"/>
      <c r="K352" s="408"/>
      <c r="L352" s="409"/>
      <c r="M352" s="319"/>
      <c r="N352" s="319"/>
      <c r="O352" s="319"/>
      <c r="P352" s="319"/>
      <c r="Q352" s="319"/>
      <c r="R352" s="319"/>
      <c r="S352" s="319"/>
      <c r="T352" s="319"/>
      <c r="U352" s="319"/>
      <c r="V352" s="319"/>
      <c r="W352" s="319"/>
      <c r="X352" s="319"/>
      <c r="Y352" s="319"/>
      <c r="Z352" s="319"/>
      <c r="AA352" s="319"/>
      <c r="AB352" s="319"/>
      <c r="AC352" s="319"/>
      <c r="AD352" s="405"/>
      <c r="AE352" s="406"/>
      <c r="AF352" s="319"/>
    </row>
    <row r="353" spans="1:32" x14ac:dyDescent="0.25">
      <c r="A353" s="258"/>
      <c r="B353" s="319"/>
      <c r="C353" s="319"/>
      <c r="D353" s="319"/>
      <c r="E353" s="319"/>
      <c r="F353" s="320"/>
      <c r="G353" s="319"/>
      <c r="H353" s="411"/>
      <c r="I353" s="319"/>
      <c r="J353" s="407"/>
      <c r="K353" s="408"/>
      <c r="L353" s="409"/>
      <c r="M353" s="319"/>
      <c r="N353" s="319"/>
      <c r="O353" s="319"/>
      <c r="P353" s="319"/>
      <c r="Q353" s="319"/>
      <c r="R353" s="319"/>
      <c r="S353" s="319"/>
      <c r="T353" s="319"/>
      <c r="U353" s="319"/>
      <c r="V353" s="319"/>
      <c r="W353" s="319"/>
      <c r="X353" s="319"/>
      <c r="Y353" s="319"/>
      <c r="Z353" s="319"/>
      <c r="AA353" s="319"/>
      <c r="AB353" s="319"/>
      <c r="AC353" s="319"/>
      <c r="AD353" s="405"/>
      <c r="AE353" s="406"/>
      <c r="AF353" s="319"/>
    </row>
    <row r="354" spans="1:32" x14ac:dyDescent="0.25">
      <c r="A354" s="258"/>
      <c r="B354" s="319"/>
      <c r="C354" s="319"/>
      <c r="D354" s="319"/>
      <c r="E354" s="319"/>
      <c r="F354" s="320"/>
      <c r="G354" s="402"/>
      <c r="H354" s="411"/>
      <c r="I354" s="319"/>
      <c r="J354" s="319"/>
      <c r="K354" s="408"/>
      <c r="L354" s="409"/>
      <c r="M354" s="319"/>
      <c r="N354" s="319"/>
      <c r="O354" s="319"/>
      <c r="P354" s="319"/>
      <c r="Q354" s="319"/>
      <c r="R354" s="319"/>
      <c r="S354" s="319"/>
      <c r="T354" s="319"/>
      <c r="U354" s="319"/>
      <c r="V354" s="319"/>
      <c r="W354" s="319"/>
      <c r="X354" s="319"/>
      <c r="Y354" s="319"/>
      <c r="Z354" s="319"/>
      <c r="AA354" s="319"/>
      <c r="AB354" s="319"/>
      <c r="AC354" s="319"/>
      <c r="AD354" s="405"/>
      <c r="AE354" s="406"/>
      <c r="AF354" s="319"/>
    </row>
    <row r="355" spans="1:32" x14ac:dyDescent="0.25">
      <c r="A355" s="258"/>
      <c r="B355" s="319"/>
      <c r="C355" s="319"/>
      <c r="D355" s="319"/>
      <c r="E355" s="319"/>
      <c r="F355" s="320"/>
      <c r="G355" s="421"/>
      <c r="H355" s="411"/>
      <c r="I355" s="319"/>
      <c r="J355" s="319"/>
      <c r="K355" s="319"/>
      <c r="L355" s="319"/>
      <c r="M355" s="319"/>
      <c r="N355" s="319"/>
      <c r="O355" s="319"/>
      <c r="P355" s="319"/>
      <c r="Q355" s="319"/>
      <c r="R355" s="319"/>
      <c r="S355" s="319"/>
      <c r="T355" s="319"/>
      <c r="U355" s="319"/>
      <c r="V355" s="319"/>
      <c r="W355" s="319"/>
      <c r="X355" s="319"/>
      <c r="Y355" s="319"/>
      <c r="Z355" s="319"/>
      <c r="AA355" s="319"/>
      <c r="AB355" s="319"/>
      <c r="AC355" s="319"/>
      <c r="AD355" s="319"/>
      <c r="AE355" s="319"/>
      <c r="AF355" s="319"/>
    </row>
    <row r="356" spans="1:32" x14ac:dyDescent="0.25">
      <c r="A356" s="258"/>
      <c r="B356" s="319"/>
      <c r="C356" s="319"/>
      <c r="D356" s="319"/>
      <c r="E356" s="319"/>
      <c r="F356" s="320"/>
      <c r="G356" s="402"/>
      <c r="H356" s="411"/>
      <c r="I356" s="319"/>
      <c r="J356" s="319"/>
      <c r="K356" s="319"/>
      <c r="L356" s="319"/>
      <c r="M356" s="319"/>
      <c r="N356" s="319"/>
      <c r="O356" s="319"/>
      <c r="P356" s="319"/>
      <c r="Q356" s="319"/>
      <c r="R356" s="319"/>
      <c r="S356" s="319"/>
      <c r="T356" s="319"/>
      <c r="U356" s="319"/>
      <c r="V356" s="319"/>
      <c r="W356" s="319"/>
      <c r="X356" s="319"/>
      <c r="Y356" s="319"/>
      <c r="Z356" s="319"/>
      <c r="AA356" s="319"/>
      <c r="AB356" s="319"/>
      <c r="AC356" s="319"/>
      <c r="AD356" s="319"/>
      <c r="AE356" s="319"/>
      <c r="AF356" s="319"/>
    </row>
    <row r="357" spans="1:32" x14ac:dyDescent="0.25">
      <c r="A357" s="258"/>
      <c r="B357" s="319"/>
      <c r="C357" s="319"/>
      <c r="D357" s="319"/>
      <c r="E357" s="319"/>
      <c r="F357" s="320"/>
      <c r="G357" s="411"/>
      <c r="H357" s="411"/>
      <c r="I357" s="319"/>
      <c r="J357" s="319"/>
      <c r="K357" s="319"/>
      <c r="L357" s="319"/>
      <c r="M357" s="319"/>
      <c r="N357" s="319"/>
      <c r="O357" s="319"/>
      <c r="P357" s="319"/>
      <c r="Q357" s="319"/>
      <c r="R357" s="319"/>
      <c r="S357" s="319"/>
      <c r="T357" s="319"/>
      <c r="U357" s="319"/>
      <c r="V357" s="319"/>
      <c r="W357" s="319"/>
      <c r="X357" s="319"/>
      <c r="Y357" s="319"/>
      <c r="Z357" s="319"/>
      <c r="AA357" s="319"/>
      <c r="AB357" s="319"/>
      <c r="AC357" s="319"/>
      <c r="AD357" s="319"/>
      <c r="AE357" s="319"/>
      <c r="AF357" s="319"/>
    </row>
    <row r="358" spans="1:32" x14ac:dyDescent="0.25">
      <c r="A358" s="258"/>
      <c r="B358" s="319"/>
      <c r="C358" s="319"/>
      <c r="D358" s="319"/>
      <c r="E358" s="319"/>
      <c r="F358" s="320"/>
      <c r="G358" s="408"/>
      <c r="H358" s="411"/>
      <c r="I358" s="319"/>
      <c r="J358" s="319"/>
      <c r="K358" s="319"/>
      <c r="L358" s="319"/>
      <c r="M358" s="319"/>
      <c r="N358" s="319"/>
      <c r="O358" s="319"/>
      <c r="P358" s="319"/>
      <c r="Q358" s="319"/>
      <c r="R358" s="319"/>
      <c r="S358" s="319"/>
      <c r="T358" s="319"/>
      <c r="U358" s="319"/>
      <c r="V358" s="319"/>
      <c r="W358" s="319"/>
      <c r="X358" s="319"/>
      <c r="Y358" s="319"/>
      <c r="Z358" s="319"/>
      <c r="AA358" s="319"/>
      <c r="AB358" s="319"/>
      <c r="AC358" s="319"/>
      <c r="AD358" s="319"/>
      <c r="AE358" s="319"/>
      <c r="AF358" s="319"/>
    </row>
    <row r="359" spans="1:32" x14ac:dyDescent="0.25">
      <c r="A359" s="258"/>
      <c r="B359" s="319"/>
      <c r="C359" s="319"/>
      <c r="D359" s="319"/>
      <c r="E359" s="319"/>
      <c r="F359" s="320"/>
      <c r="G359" s="408"/>
      <c r="H359" s="411"/>
      <c r="I359" s="319"/>
      <c r="J359" s="319"/>
      <c r="K359" s="319"/>
      <c r="L359" s="319"/>
      <c r="M359" s="319"/>
      <c r="N359" s="319"/>
      <c r="O359" s="319"/>
      <c r="P359" s="319"/>
      <c r="Q359" s="319"/>
      <c r="R359" s="319"/>
      <c r="S359" s="319"/>
      <c r="T359" s="319"/>
      <c r="U359" s="319"/>
      <c r="V359" s="319"/>
      <c r="W359" s="319"/>
      <c r="X359" s="319"/>
      <c r="Y359" s="319"/>
      <c r="Z359" s="319"/>
      <c r="AA359" s="319"/>
      <c r="AB359" s="319"/>
      <c r="AC359" s="319"/>
      <c r="AD359" s="319"/>
      <c r="AE359" s="319"/>
      <c r="AF359" s="319"/>
    </row>
    <row r="360" spans="1:32" s="272" customFormat="1" x14ac:dyDescent="0.25">
      <c r="A360" s="258"/>
      <c r="B360" s="319"/>
      <c r="C360" s="319"/>
      <c r="D360" s="319"/>
      <c r="E360" s="319"/>
      <c r="F360" s="319"/>
      <c r="G360" s="319"/>
      <c r="H360" s="319"/>
      <c r="I360" s="319"/>
      <c r="J360" s="319"/>
      <c r="K360" s="319"/>
      <c r="L360" s="319"/>
      <c r="M360" s="319"/>
      <c r="N360" s="319"/>
      <c r="O360" s="319"/>
      <c r="P360" s="319"/>
      <c r="Q360" s="319"/>
      <c r="R360" s="319"/>
      <c r="S360" s="319"/>
      <c r="T360" s="319"/>
      <c r="U360" s="319"/>
      <c r="V360" s="319"/>
      <c r="W360" s="319"/>
      <c r="X360" s="319"/>
      <c r="Y360" s="319"/>
      <c r="Z360" s="319"/>
      <c r="AA360" s="319"/>
      <c r="AB360" s="319"/>
      <c r="AC360" s="319"/>
      <c r="AD360" s="319"/>
      <c r="AE360" s="319"/>
      <c r="AF360" s="319"/>
    </row>
    <row r="361" spans="1:32" x14ac:dyDescent="0.25">
      <c r="A361" s="258"/>
      <c r="B361" s="319"/>
      <c r="C361" s="319"/>
      <c r="D361" s="319"/>
      <c r="E361" s="319"/>
      <c r="F361" s="319"/>
      <c r="G361" s="319"/>
      <c r="H361" s="319"/>
      <c r="I361" s="319"/>
      <c r="J361" s="319"/>
      <c r="K361" s="319"/>
      <c r="L361" s="319"/>
      <c r="M361" s="319"/>
      <c r="N361" s="319"/>
      <c r="O361" s="319"/>
      <c r="P361" s="319"/>
      <c r="Q361" s="319"/>
      <c r="R361" s="319"/>
      <c r="S361" s="319"/>
      <c r="T361" s="319"/>
      <c r="U361" s="319"/>
      <c r="V361" s="319"/>
      <c r="W361" s="319"/>
      <c r="X361" s="319"/>
      <c r="Y361" s="319"/>
      <c r="Z361" s="319"/>
      <c r="AA361" s="319"/>
      <c r="AB361" s="319"/>
      <c r="AC361" s="319"/>
      <c r="AD361" s="319"/>
      <c r="AE361" s="319"/>
      <c r="AF361" s="319"/>
    </row>
    <row r="362" spans="1:32" x14ac:dyDescent="0.25">
      <c r="A362" s="258"/>
      <c r="B362" s="319"/>
      <c r="C362" s="319"/>
      <c r="D362" s="319"/>
      <c r="E362" s="319"/>
      <c r="F362" s="319"/>
      <c r="G362" s="319"/>
      <c r="H362" s="319"/>
      <c r="I362" s="319"/>
      <c r="J362" s="319"/>
      <c r="K362" s="319"/>
      <c r="L362" s="319"/>
      <c r="M362" s="319"/>
      <c r="N362" s="319"/>
      <c r="O362" s="319"/>
      <c r="P362" s="319"/>
      <c r="Q362" s="319"/>
      <c r="R362" s="319"/>
      <c r="S362" s="319"/>
      <c r="T362" s="319"/>
      <c r="U362" s="319"/>
      <c r="V362" s="319"/>
      <c r="W362" s="319"/>
      <c r="X362" s="319"/>
      <c r="Y362" s="319"/>
      <c r="Z362" s="319"/>
      <c r="AA362" s="319"/>
      <c r="AB362" s="319"/>
      <c r="AC362" s="319"/>
      <c r="AD362" s="319"/>
      <c r="AE362" s="319"/>
      <c r="AF362" s="319"/>
    </row>
    <row r="363" spans="1:32" x14ac:dyDescent="0.25">
      <c r="A363" s="258"/>
      <c r="B363" s="319"/>
      <c r="C363" s="319"/>
      <c r="D363" s="319"/>
      <c r="E363" s="319"/>
      <c r="F363" s="319"/>
      <c r="G363" s="319"/>
      <c r="H363" s="319"/>
      <c r="I363" s="319"/>
      <c r="J363" s="319"/>
      <c r="K363" s="319"/>
      <c r="L363" s="319"/>
      <c r="M363" s="319"/>
      <c r="N363" s="319"/>
      <c r="O363" s="319"/>
      <c r="P363" s="319"/>
      <c r="Q363" s="319"/>
      <c r="R363" s="319"/>
      <c r="S363" s="319"/>
      <c r="T363" s="319"/>
      <c r="U363" s="319"/>
      <c r="V363" s="319"/>
      <c r="W363" s="319"/>
      <c r="X363" s="319"/>
      <c r="Y363" s="319"/>
      <c r="Z363" s="319"/>
      <c r="AA363" s="319"/>
      <c r="AB363" s="319"/>
      <c r="AC363" s="319"/>
      <c r="AD363" s="319"/>
      <c r="AE363" s="319"/>
      <c r="AF363" s="319"/>
    </row>
    <row r="364" spans="1:32" x14ac:dyDescent="0.25">
      <c r="A364" s="258"/>
      <c r="B364" s="319"/>
      <c r="C364" s="319"/>
      <c r="D364" s="319"/>
      <c r="E364" s="319"/>
      <c r="F364" s="319"/>
      <c r="G364" s="319"/>
      <c r="H364" s="319"/>
      <c r="I364" s="319"/>
      <c r="J364" s="319"/>
      <c r="K364" s="319"/>
      <c r="L364" s="319"/>
      <c r="M364" s="319"/>
      <c r="N364" s="319"/>
      <c r="O364" s="319"/>
      <c r="P364" s="319"/>
      <c r="Q364" s="319"/>
      <c r="R364" s="319"/>
      <c r="S364" s="319"/>
      <c r="T364" s="319"/>
      <c r="U364" s="319"/>
      <c r="V364" s="319"/>
      <c r="W364" s="319"/>
      <c r="X364" s="319"/>
      <c r="Y364" s="319"/>
      <c r="Z364" s="319"/>
      <c r="AA364" s="319"/>
      <c r="AB364" s="319"/>
      <c r="AC364" s="319"/>
      <c r="AD364" s="319"/>
      <c r="AE364" s="319"/>
      <c r="AF364" s="319"/>
    </row>
    <row r="365" spans="1:32" x14ac:dyDescent="0.25">
      <c r="A365" s="258"/>
      <c r="B365" s="319"/>
      <c r="C365" s="319"/>
      <c r="D365" s="319"/>
      <c r="E365" s="319"/>
      <c r="F365" s="319"/>
      <c r="G365" s="319"/>
      <c r="H365" s="319"/>
      <c r="I365" s="319"/>
      <c r="J365" s="319"/>
      <c r="K365" s="319"/>
      <c r="L365" s="319"/>
      <c r="M365" s="319"/>
      <c r="N365" s="319"/>
      <c r="O365" s="319"/>
      <c r="P365" s="319"/>
      <c r="Q365" s="319"/>
      <c r="R365" s="319"/>
      <c r="S365" s="319"/>
      <c r="T365" s="319"/>
      <c r="U365" s="319"/>
      <c r="V365" s="319"/>
      <c r="W365" s="319"/>
      <c r="X365" s="319"/>
      <c r="Y365" s="319"/>
      <c r="Z365" s="319"/>
      <c r="AA365" s="319"/>
      <c r="AB365" s="319"/>
      <c r="AC365" s="319"/>
      <c r="AD365" s="319"/>
      <c r="AE365" s="319"/>
      <c r="AF365" s="319"/>
    </row>
    <row r="366" spans="1:32" x14ac:dyDescent="0.25">
      <c r="A366" s="258"/>
      <c r="B366" s="319"/>
      <c r="C366" s="319"/>
      <c r="D366" s="319"/>
      <c r="E366" s="319"/>
      <c r="F366" s="319"/>
      <c r="G366" s="319"/>
      <c r="H366" s="319"/>
      <c r="I366" s="319"/>
      <c r="J366" s="319"/>
      <c r="K366" s="319"/>
      <c r="L366" s="319"/>
      <c r="M366" s="319"/>
      <c r="N366" s="319"/>
      <c r="O366" s="319"/>
      <c r="P366" s="319"/>
      <c r="Q366" s="319"/>
      <c r="R366" s="319"/>
      <c r="S366" s="319"/>
      <c r="T366" s="319"/>
      <c r="U366" s="319"/>
      <c r="V366" s="319"/>
      <c r="W366" s="319"/>
      <c r="X366" s="319"/>
      <c r="Y366" s="319"/>
      <c r="Z366" s="319"/>
      <c r="AA366" s="319"/>
      <c r="AB366" s="319"/>
      <c r="AC366" s="319"/>
      <c r="AD366" s="319"/>
      <c r="AE366" s="319"/>
      <c r="AF366" s="319"/>
    </row>
    <row r="367" spans="1:32" ht="37.9" customHeight="1" x14ac:dyDescent="0.25">
      <c r="A367" s="258"/>
      <c r="B367" s="319"/>
      <c r="C367" s="319"/>
      <c r="D367" s="319"/>
      <c r="E367" s="319"/>
      <c r="F367" s="319"/>
      <c r="G367" s="319"/>
      <c r="H367" s="319"/>
      <c r="I367" s="319"/>
      <c r="J367" s="319"/>
      <c r="K367" s="319"/>
      <c r="L367" s="319"/>
      <c r="M367" s="319"/>
      <c r="N367" s="319"/>
      <c r="O367" s="319"/>
      <c r="P367" s="319"/>
      <c r="Q367" s="319"/>
      <c r="R367" s="319"/>
      <c r="S367" s="319"/>
      <c r="T367" s="319"/>
      <c r="U367" s="319"/>
      <c r="V367" s="319"/>
      <c r="W367" s="319"/>
      <c r="X367" s="319"/>
      <c r="Y367" s="319"/>
      <c r="Z367" s="319"/>
      <c r="AA367" s="319"/>
      <c r="AB367" s="319"/>
      <c r="AC367" s="319"/>
      <c r="AD367" s="319"/>
      <c r="AE367" s="319"/>
      <c r="AF367" s="319"/>
    </row>
    <row r="368" spans="1:32" ht="18" customHeight="1" x14ac:dyDescent="0.25">
      <c r="A368" s="258"/>
      <c r="B368" s="319"/>
      <c r="C368" s="319"/>
      <c r="D368" s="319"/>
      <c r="E368" s="319"/>
      <c r="F368" s="319"/>
      <c r="G368" s="319"/>
      <c r="H368" s="319"/>
      <c r="I368" s="319"/>
      <c r="J368" s="319"/>
      <c r="K368" s="319"/>
      <c r="L368" s="319"/>
      <c r="M368" s="319"/>
      <c r="N368" s="319"/>
      <c r="O368" s="319"/>
      <c r="P368" s="319"/>
      <c r="Q368" s="319"/>
      <c r="R368" s="319"/>
      <c r="S368" s="319"/>
      <c r="T368" s="319"/>
      <c r="U368" s="319"/>
      <c r="V368" s="319"/>
      <c r="W368" s="319"/>
      <c r="X368" s="319"/>
      <c r="Y368" s="319"/>
      <c r="Z368" s="319"/>
      <c r="AA368" s="319"/>
      <c r="AB368" s="319"/>
      <c r="AC368" s="319"/>
      <c r="AD368" s="319"/>
      <c r="AE368" s="319"/>
      <c r="AF368" s="319"/>
    </row>
    <row r="369" spans="1:32" ht="18" customHeight="1" x14ac:dyDescent="0.25">
      <c r="A369" s="258"/>
      <c r="B369" s="319"/>
      <c r="C369" s="319"/>
      <c r="D369" s="319"/>
      <c r="E369" s="319"/>
      <c r="F369" s="319"/>
      <c r="G369" s="319"/>
      <c r="H369" s="319"/>
      <c r="I369" s="319"/>
      <c r="J369" s="319"/>
      <c r="K369" s="319"/>
      <c r="L369" s="319"/>
      <c r="M369" s="319"/>
      <c r="N369" s="319"/>
      <c r="O369" s="319"/>
      <c r="P369" s="319"/>
      <c r="Q369" s="319"/>
      <c r="R369" s="319"/>
      <c r="S369" s="319"/>
      <c r="T369" s="319"/>
      <c r="U369" s="319"/>
      <c r="V369" s="319"/>
      <c r="W369" s="319"/>
      <c r="X369" s="319"/>
      <c r="Y369" s="319"/>
      <c r="Z369" s="319"/>
      <c r="AA369" s="319"/>
      <c r="AB369" s="319"/>
      <c r="AC369" s="319"/>
      <c r="AD369" s="319"/>
      <c r="AE369" s="319"/>
      <c r="AF369" s="319"/>
    </row>
    <row r="370" spans="1:32" ht="18" customHeight="1" x14ac:dyDescent="0.25">
      <c r="A370" s="258"/>
      <c r="B370" s="319"/>
      <c r="C370" s="319"/>
      <c r="D370" s="319"/>
      <c r="E370" s="319"/>
      <c r="F370" s="319"/>
      <c r="G370" s="319"/>
      <c r="H370" s="319"/>
      <c r="I370" s="319"/>
      <c r="J370" s="319"/>
      <c r="K370" s="319"/>
      <c r="L370" s="319"/>
      <c r="M370" s="319"/>
      <c r="N370" s="319"/>
      <c r="O370" s="319"/>
      <c r="P370" s="319"/>
      <c r="Q370" s="319"/>
      <c r="R370" s="319"/>
      <c r="S370" s="319"/>
      <c r="T370" s="319"/>
      <c r="U370" s="319"/>
      <c r="V370" s="319"/>
      <c r="W370" s="319"/>
      <c r="X370" s="319"/>
      <c r="Y370" s="319"/>
      <c r="Z370" s="319"/>
      <c r="AA370" s="319"/>
      <c r="AB370" s="319"/>
      <c r="AC370" s="319"/>
      <c r="AD370" s="319"/>
      <c r="AE370" s="319"/>
      <c r="AF370" s="319"/>
    </row>
    <row r="371" spans="1:32" x14ac:dyDescent="0.25">
      <c r="B371" s="319"/>
      <c r="C371" s="319"/>
      <c r="D371" s="319"/>
      <c r="E371" s="319"/>
      <c r="F371" s="319"/>
      <c r="G371" s="319"/>
      <c r="H371" s="319"/>
      <c r="I371" s="319"/>
      <c r="J371" s="319"/>
      <c r="K371" s="319"/>
      <c r="L371" s="319"/>
      <c r="M371" s="319"/>
      <c r="N371" s="319"/>
      <c r="O371" s="319"/>
      <c r="P371" s="319"/>
      <c r="Q371" s="319"/>
      <c r="R371" s="319"/>
      <c r="S371" s="319"/>
      <c r="T371" s="319"/>
      <c r="U371" s="319"/>
      <c r="V371" s="319"/>
      <c r="W371" s="319"/>
      <c r="X371" s="319"/>
      <c r="Y371" s="319"/>
      <c r="Z371" s="319"/>
      <c r="AA371" s="319"/>
      <c r="AB371" s="319"/>
      <c r="AC371" s="319"/>
      <c r="AD371" s="319"/>
      <c r="AE371" s="319"/>
      <c r="AF371" s="319"/>
    </row>
    <row r="372" spans="1:32" x14ac:dyDescent="0.25">
      <c r="B372" s="319"/>
      <c r="C372" s="319"/>
      <c r="D372" s="319"/>
      <c r="E372" s="319"/>
      <c r="F372" s="319"/>
      <c r="G372" s="319"/>
      <c r="H372" s="319"/>
      <c r="I372" s="319"/>
      <c r="J372" s="319"/>
      <c r="K372" s="319"/>
      <c r="L372" s="319"/>
      <c r="M372" s="319"/>
      <c r="N372" s="319"/>
      <c r="O372" s="319"/>
      <c r="P372" s="319"/>
      <c r="Q372" s="319"/>
      <c r="R372" s="319"/>
      <c r="S372" s="319"/>
      <c r="T372" s="319"/>
      <c r="U372" s="319"/>
      <c r="V372" s="319"/>
      <c r="W372" s="319"/>
      <c r="X372" s="319"/>
      <c r="Y372" s="319"/>
      <c r="Z372" s="319"/>
      <c r="AA372" s="319"/>
      <c r="AB372" s="319"/>
      <c r="AC372" s="319"/>
      <c r="AD372" s="319"/>
      <c r="AE372" s="319"/>
      <c r="AF372" s="319"/>
    </row>
    <row r="373" spans="1:32" s="258" customFormat="1" x14ac:dyDescent="0.25">
      <c r="B373" s="319"/>
      <c r="C373" s="319"/>
      <c r="D373" s="319"/>
      <c r="E373" s="319"/>
      <c r="F373" s="319"/>
      <c r="G373" s="319"/>
      <c r="H373" s="319"/>
      <c r="I373" s="319"/>
      <c r="J373" s="319"/>
      <c r="K373" s="319"/>
      <c r="L373" s="319"/>
      <c r="M373" s="319"/>
      <c r="N373" s="319"/>
      <c r="O373" s="319"/>
      <c r="P373" s="319"/>
      <c r="Q373" s="319"/>
      <c r="R373" s="319"/>
      <c r="S373" s="319"/>
      <c r="T373" s="319"/>
      <c r="U373" s="319"/>
      <c r="V373" s="319"/>
      <c r="W373" s="319"/>
      <c r="X373" s="319"/>
      <c r="Y373" s="319"/>
      <c r="Z373" s="319"/>
      <c r="AA373" s="319"/>
      <c r="AB373" s="319"/>
      <c r="AC373" s="319"/>
      <c r="AD373" s="319"/>
      <c r="AE373" s="319"/>
      <c r="AF373" s="319"/>
    </row>
  </sheetData>
  <dataValidations count="2">
    <dataValidation type="list" allowBlank="1" showInputMessage="1" showErrorMessage="1" sqref="C38 C60 C82 C104 C126 C148 C170 C192 C214 C236 C258 C280 C302 C324 C346" xr:uid="{00000000-0002-0000-0200-000000000000}">
      <formula1>DataSourceList</formula1>
    </dataValidation>
    <dataValidation type="list" allowBlank="1" showInputMessage="1" showErrorMessage="1" sqref="C43 C65 C87 C109 C131 C153 C175 C197 C219 C241 C263 C285 C307 C329 C351" xr:uid="{00000000-0002-0000-0200-000001000000}">
      <formula1>ImplYearsList</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XXX">
                <anchor moveWithCells="1">
                  <from>
                    <xdr:col>3</xdr:col>
                    <xdr:colOff>171450</xdr:colOff>
                    <xdr:row>33</xdr:row>
                    <xdr:rowOff>209550</xdr:rowOff>
                  </from>
                  <to>
                    <xdr:col>4</xdr:col>
                    <xdr:colOff>504825</xdr:colOff>
                    <xdr:row>35</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ltText="XXX">
                <anchor moveWithCells="1">
                  <from>
                    <xdr:col>3</xdr:col>
                    <xdr:colOff>171450</xdr:colOff>
                    <xdr:row>35</xdr:row>
                    <xdr:rowOff>171450</xdr:rowOff>
                  </from>
                  <to>
                    <xdr:col>4</xdr:col>
                    <xdr:colOff>504825</xdr:colOff>
                    <xdr:row>37</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ltText="XXX">
                <anchor moveWithCells="1">
                  <from>
                    <xdr:col>3</xdr:col>
                    <xdr:colOff>171450</xdr:colOff>
                    <xdr:row>37</xdr:row>
                    <xdr:rowOff>171450</xdr:rowOff>
                  </from>
                  <to>
                    <xdr:col>4</xdr:col>
                    <xdr:colOff>504825</xdr:colOff>
                    <xdr:row>39</xdr:row>
                    <xdr:rowOff>28575</xdr:rowOff>
                  </to>
                </anchor>
              </controlPr>
            </control>
          </mc:Choice>
        </mc:AlternateContent>
        <mc:AlternateContent xmlns:mc="http://schemas.openxmlformats.org/markup-compatibility/2006">
          <mc:Choice Requires="x14">
            <control shapeId="1033" r:id="rId7" name="Check Box 9">
              <controlPr defaultSize="0" autoFill="0" autoLine="0" autoPict="0" altText="XXX">
                <anchor moveWithCells="1">
                  <from>
                    <xdr:col>3</xdr:col>
                    <xdr:colOff>171450</xdr:colOff>
                    <xdr:row>39</xdr:row>
                    <xdr:rowOff>171450</xdr:rowOff>
                  </from>
                  <to>
                    <xdr:col>4</xdr:col>
                    <xdr:colOff>523875</xdr:colOff>
                    <xdr:row>41</xdr:row>
                    <xdr:rowOff>28575</xdr:rowOff>
                  </to>
                </anchor>
              </controlPr>
            </control>
          </mc:Choice>
        </mc:AlternateContent>
        <mc:AlternateContent xmlns:mc="http://schemas.openxmlformats.org/markup-compatibility/2006">
          <mc:Choice Requires="x14">
            <control shapeId="1105" r:id="rId8" name="Check Box 81">
              <controlPr locked="0" defaultSize="0" autoFill="0" autoLine="0" autoPict="0" altText="XXX">
                <anchor moveWithCells="1">
                  <from>
                    <xdr:col>3</xdr:col>
                    <xdr:colOff>190500</xdr:colOff>
                    <xdr:row>31</xdr:row>
                    <xdr:rowOff>161925</xdr:rowOff>
                  </from>
                  <to>
                    <xdr:col>5</xdr:col>
                    <xdr:colOff>295275</xdr:colOff>
                    <xdr:row>33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K11"/>
  <sheetViews>
    <sheetView workbookViewId="0">
      <selection activeCell="C17" sqref="C17"/>
    </sheetView>
  </sheetViews>
  <sheetFormatPr defaultRowHeight="15" x14ac:dyDescent="0.25"/>
  <cols>
    <col min="1" max="1" width="3.140625" customWidth="1"/>
    <col min="2" max="2" width="3" bestFit="1" customWidth="1"/>
    <col min="3" max="3" width="30.5703125" customWidth="1"/>
    <col min="4" max="5" width="14" customWidth="1"/>
    <col min="6" max="6" width="2.7109375" customWidth="1"/>
    <col min="7" max="7" width="6.28515625" customWidth="1"/>
  </cols>
  <sheetData>
    <row r="2" spans="2:11" x14ac:dyDescent="0.25">
      <c r="B2" s="54" t="s">
        <v>474</v>
      </c>
      <c r="C2" s="182"/>
      <c r="D2" s="182"/>
      <c r="E2" s="182"/>
      <c r="F2" s="182"/>
      <c r="G2" s="182"/>
      <c r="H2" s="182"/>
      <c r="I2" s="182"/>
      <c r="J2" s="182"/>
      <c r="K2" s="183"/>
    </row>
    <row r="3" spans="2:11" x14ac:dyDescent="0.25">
      <c r="B3" s="55"/>
      <c r="C3" s="184" t="s">
        <v>407</v>
      </c>
      <c r="D3" s="184"/>
      <c r="E3" s="184"/>
      <c r="F3" s="184"/>
      <c r="G3" s="184"/>
      <c r="H3" s="184"/>
      <c r="I3" s="184"/>
      <c r="J3" s="184"/>
      <c r="K3" s="185"/>
    </row>
    <row r="4" spans="2:11" x14ac:dyDescent="0.25">
      <c r="B4" s="55"/>
      <c r="C4" s="184" t="s">
        <v>476</v>
      </c>
      <c r="D4" s="184"/>
      <c r="E4" s="184"/>
      <c r="F4" s="184"/>
      <c r="G4" s="184"/>
      <c r="H4" s="184"/>
      <c r="I4" s="184"/>
      <c r="J4" s="184"/>
      <c r="K4" s="185"/>
    </row>
    <row r="5" spans="2:11" x14ac:dyDescent="0.25">
      <c r="B5" s="55"/>
      <c r="C5" s="184" t="s">
        <v>408</v>
      </c>
      <c r="D5" s="184"/>
      <c r="E5" s="184"/>
      <c r="F5" s="184"/>
      <c r="G5" s="184"/>
      <c r="H5" s="184"/>
      <c r="I5" s="184"/>
      <c r="J5" s="184"/>
      <c r="K5" s="185"/>
    </row>
    <row r="6" spans="2:11" x14ac:dyDescent="0.25">
      <c r="B6" s="55"/>
      <c r="C6" s="184" t="s">
        <v>475</v>
      </c>
      <c r="D6" s="184"/>
      <c r="E6" s="184"/>
      <c r="F6" s="184"/>
      <c r="G6" s="184"/>
      <c r="H6" s="184"/>
      <c r="I6" s="184"/>
      <c r="J6" s="184"/>
      <c r="K6" s="185"/>
    </row>
    <row r="7" spans="2:11" x14ac:dyDescent="0.25">
      <c r="B7" s="3"/>
      <c r="C7" s="186" t="s">
        <v>477</v>
      </c>
      <c r="D7" s="186"/>
      <c r="E7" s="186"/>
      <c r="F7" s="186"/>
      <c r="G7" s="186"/>
      <c r="H7" s="186"/>
      <c r="I7" s="186"/>
      <c r="J7" s="186"/>
      <c r="K7" s="187"/>
    </row>
    <row r="8" spans="2:11" s="224" customFormat="1" x14ac:dyDescent="0.25">
      <c r="B8" s="76"/>
      <c r="C8" s="76"/>
      <c r="D8" s="76"/>
      <c r="E8" s="76"/>
      <c r="F8" s="76"/>
      <c r="G8" s="76"/>
      <c r="H8" s="76"/>
      <c r="I8" s="76"/>
      <c r="J8" s="76"/>
      <c r="K8" s="76"/>
    </row>
    <row r="9" spans="2:11" x14ac:dyDescent="0.25">
      <c r="D9" s="226" t="s">
        <v>421</v>
      </c>
    </row>
    <row r="10" spans="2:11" ht="30" x14ac:dyDescent="0.25">
      <c r="B10" s="79"/>
      <c r="C10" s="120" t="s">
        <v>0</v>
      </c>
      <c r="D10" s="181" t="s">
        <v>350</v>
      </c>
      <c r="E10" s="121" t="s">
        <v>388</v>
      </c>
    </row>
    <row r="11" spans="2:11" x14ac:dyDescent="0.25">
      <c r="B11" s="423"/>
      <c r="C11" s="424" t="str">
        <f>'Community Inputs'!C11</f>
        <v>Andover, City of</v>
      </c>
      <c r="D11" s="425">
        <v>0.15139882413310923</v>
      </c>
      <c r="E11" s="426">
        <f>ROUNDDOWN(0.85/D11, 0)</f>
        <v>5</v>
      </c>
      <c r="F11" s="109"/>
      <c r="G11" s="563" t="str">
        <f>IF(AND(PRCT1=0,'Participation Rate'!D11&gt;(Base11)),"Error - Please enter a value equal to base participation rate",IF(AND(PRCT1&gt;0,D11&lt;=Base1),"Error - Please enter a value greater than base participation rate"," "))</f>
        <v xml:space="preserve"> </v>
      </c>
    </row>
  </sheetData>
  <dataValidations count="1">
    <dataValidation type="list" showErrorMessage="1" sqref="D11" xr:uid="{00000000-0002-0000-0300-00000E000000}">
      <formula1>Participation_1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A652-06B5-4757-8638-98CAFB18E39E}">
  <dimension ref="B2:AB4"/>
  <sheetViews>
    <sheetView workbookViewId="0">
      <selection activeCell="J4" sqref="J4"/>
    </sheetView>
  </sheetViews>
  <sheetFormatPr defaultRowHeight="15" x14ac:dyDescent="0.25"/>
  <cols>
    <col min="1" max="1" width="3.85546875" customWidth="1"/>
    <col min="2" max="2" width="3" bestFit="1" customWidth="1"/>
    <col min="3" max="3" width="19.28515625" bestFit="1" customWidth="1"/>
    <col min="4" max="8" width="7" customWidth="1"/>
  </cols>
  <sheetData>
    <row r="2" spans="2:28" ht="16.5" x14ac:dyDescent="0.3">
      <c r="B2" s="380" t="s">
        <v>453</v>
      </c>
      <c r="C2" s="380"/>
      <c r="D2" s="380"/>
      <c r="E2" s="380"/>
      <c r="F2" s="380"/>
      <c r="G2" s="380"/>
      <c r="H2" s="380"/>
      <c r="AB2" s="378" t="s">
        <v>454</v>
      </c>
    </row>
    <row r="3" spans="2:28" ht="96" customHeight="1" x14ac:dyDescent="0.25">
      <c r="B3" s="550" t="s">
        <v>0</v>
      </c>
      <c r="C3" s="551"/>
      <c r="D3" s="381" t="s">
        <v>447</v>
      </c>
      <c r="E3" s="381" t="s">
        <v>448</v>
      </c>
      <c r="F3" s="381" t="s">
        <v>449</v>
      </c>
      <c r="G3" s="381" t="s">
        <v>450</v>
      </c>
      <c r="H3" s="381" t="s">
        <v>451</v>
      </c>
    </row>
    <row r="4" spans="2:28" x14ac:dyDescent="0.25">
      <c r="B4" s="427"/>
      <c r="C4" s="428" t="str">
        <f>Population!C5</f>
        <v>Andover, City of</v>
      </c>
      <c r="D4" s="379" t="str">
        <f>IF('Program Setup'!$AB33=1, $AB$2, "")</f>
        <v>✔</v>
      </c>
      <c r="E4" s="379" t="str">
        <f ca="1">IF(OFFSET('Program Setup'!$AB33,2,0)=1, $AB$2, "")</f>
        <v>✔</v>
      </c>
      <c r="F4" s="379" t="str">
        <f ca="1">IF(OFFSET('Program Setup'!$AB33,4,0)=1, $AB$2, "")</f>
        <v/>
      </c>
      <c r="G4" s="379" t="str">
        <f ca="1">IF(OFFSET('Program Setup'!$AB33,6,0)=1, $AB$2, "")</f>
        <v/>
      </c>
      <c r="H4" s="379" t="str">
        <f ca="1">IF(OFFSET('Program Setup'!$AB33,8,0)=1, $AB$2, "")</f>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2:N12"/>
  <sheetViews>
    <sheetView workbookViewId="0">
      <selection activeCell="C22" sqref="C22"/>
    </sheetView>
  </sheetViews>
  <sheetFormatPr defaultColWidth="8.85546875" defaultRowHeight="15" x14ac:dyDescent="0.25"/>
  <cols>
    <col min="1" max="1" width="7.28515625" style="238" customWidth="1"/>
    <col min="2" max="2" width="3.7109375" style="238" customWidth="1"/>
    <col min="3" max="3" width="25.85546875" style="238" customWidth="1"/>
    <col min="4" max="4" width="7.7109375" style="238" customWidth="1"/>
    <col min="5" max="5" width="13.7109375" style="238" customWidth="1"/>
    <col min="6" max="6" width="7.42578125" style="238" customWidth="1"/>
    <col min="7" max="7" width="13.42578125" style="238" customWidth="1"/>
    <col min="8" max="8" width="12.85546875" style="238" customWidth="1"/>
    <col min="9" max="9" width="13.28515625" style="238" customWidth="1"/>
    <col min="10" max="10" width="16.140625" style="238" customWidth="1"/>
    <col min="11" max="11" width="19" style="238" customWidth="1"/>
    <col min="12" max="12" width="12.5703125" style="238" customWidth="1"/>
    <col min="13" max="16384" width="8.85546875" style="238"/>
  </cols>
  <sheetData>
    <row r="2" spans="2:14" x14ac:dyDescent="0.25">
      <c r="B2" s="556" t="s">
        <v>452</v>
      </c>
      <c r="C2" s="556"/>
      <c r="D2" s="556"/>
      <c r="E2" s="556"/>
      <c r="F2" s="556"/>
      <c r="G2" s="556"/>
      <c r="H2" s="556"/>
      <c r="I2" s="556"/>
      <c r="J2" s="556"/>
      <c r="K2" s="556"/>
      <c r="L2" s="556"/>
    </row>
    <row r="3" spans="2:14" ht="15" customHeight="1" x14ac:dyDescent="0.25">
      <c r="B3" s="352"/>
      <c r="C3" s="557"/>
      <c r="D3" s="572" t="s">
        <v>16</v>
      </c>
      <c r="E3" s="571"/>
      <c r="F3" s="572" t="s">
        <v>17</v>
      </c>
      <c r="G3" s="504"/>
      <c r="H3" s="504"/>
      <c r="I3" s="562"/>
      <c r="J3" s="561"/>
      <c r="K3" s="557"/>
      <c r="L3" s="559"/>
    </row>
    <row r="4" spans="2:14" s="239" customFormat="1" ht="51.6" customHeight="1" x14ac:dyDescent="0.25">
      <c r="B4" s="353"/>
      <c r="C4" s="558" t="s">
        <v>0</v>
      </c>
      <c r="D4" s="351" t="s">
        <v>318</v>
      </c>
      <c r="E4" s="351" t="s">
        <v>14</v>
      </c>
      <c r="F4" s="350" t="s">
        <v>318</v>
      </c>
      <c r="G4" s="385" t="s">
        <v>462</v>
      </c>
      <c r="H4" s="351" t="s">
        <v>14</v>
      </c>
      <c r="I4" s="351" t="s">
        <v>15</v>
      </c>
      <c r="J4" s="503" t="s">
        <v>378</v>
      </c>
      <c r="K4" s="560" t="s">
        <v>20</v>
      </c>
      <c r="L4" s="503" t="s">
        <v>19</v>
      </c>
    </row>
    <row r="5" spans="2:14" x14ac:dyDescent="0.25">
      <c r="B5" s="427"/>
      <c r="C5" s="428" t="str">
        <f>Population!C5</f>
        <v>Andover, City of</v>
      </c>
      <c r="D5" s="429">
        <f>MAX('Wells and Costs'!G4:AD4)</f>
        <v>1</v>
      </c>
      <c r="E5" s="430">
        <f>'Wells and Costs'!F9</f>
        <v>1269531.3713473063</v>
      </c>
      <c r="F5" s="429">
        <f>MAX('Wells with Cons &amp; Costs'!G4:AD4)</f>
        <v>1</v>
      </c>
      <c r="G5" s="430">
        <f>Conservation!E25</f>
        <v>320688.98384323186</v>
      </c>
      <c r="H5" s="430">
        <f>'Wells with Cons &amp; Costs'!F9</f>
        <v>1269531.3713473063</v>
      </c>
      <c r="I5" s="430">
        <f>SUM(G5:H5)</f>
        <v>1590220.3551905381</v>
      </c>
      <c r="J5" s="431">
        <f>D5-F5</f>
        <v>0</v>
      </c>
      <c r="K5" s="432">
        <f>E5-I5</f>
        <v>-320688.98384323181</v>
      </c>
      <c r="L5" s="427">
        <f>RANK(K5,$K$5:$K$5)</f>
        <v>1</v>
      </c>
    </row>
    <row r="6" spans="2:14" x14ac:dyDescent="0.25">
      <c r="E6" s="389"/>
      <c r="F6" s="433"/>
      <c r="G6" s="390"/>
      <c r="H6" s="390"/>
    </row>
    <row r="7" spans="2:14" x14ac:dyDescent="0.25">
      <c r="C7" s="498"/>
      <c r="D7" s="498"/>
      <c r="E7" s="498"/>
      <c r="F7" s="498"/>
      <c r="G7" s="498"/>
      <c r="H7" s="498"/>
      <c r="I7" s="498"/>
      <c r="J7" s="498"/>
      <c r="K7" s="498"/>
      <c r="L7" s="498"/>
      <c r="M7" s="498"/>
      <c r="N7" s="498"/>
    </row>
    <row r="8" spans="2:14" ht="14.45" customHeight="1" x14ac:dyDescent="0.25">
      <c r="C8" s="553"/>
      <c r="D8" s="555"/>
      <c r="E8" s="555"/>
      <c r="F8" s="555"/>
      <c r="G8" s="555"/>
      <c r="H8" s="555"/>
      <c r="I8" s="555"/>
      <c r="J8" s="553"/>
      <c r="K8" s="553"/>
      <c r="L8" s="552"/>
      <c r="M8" s="498"/>
      <c r="N8" s="498"/>
    </row>
    <row r="9" spans="2:14" x14ac:dyDescent="0.25">
      <c r="C9" s="553"/>
      <c r="D9" s="386"/>
      <c r="E9" s="386"/>
      <c r="F9" s="386"/>
      <c r="G9" s="434"/>
      <c r="H9" s="386"/>
      <c r="I9" s="386"/>
      <c r="J9" s="554"/>
      <c r="K9" s="554"/>
      <c r="L9" s="552"/>
      <c r="M9" s="498"/>
      <c r="N9" s="498"/>
    </row>
    <row r="10" spans="2:14" x14ac:dyDescent="0.25">
      <c r="C10" s="498"/>
      <c r="D10" s="499"/>
      <c r="E10" s="360"/>
      <c r="F10" s="499"/>
      <c r="G10" s="360"/>
      <c r="H10" s="360"/>
      <c r="I10" s="360"/>
      <c r="J10" s="500"/>
      <c r="K10" s="360"/>
      <c r="L10" s="499"/>
      <c r="M10" s="498"/>
      <c r="N10" s="498"/>
    </row>
    <row r="11" spans="2:14" x14ac:dyDescent="0.25">
      <c r="C11" s="498"/>
      <c r="D11" s="498"/>
      <c r="E11" s="498"/>
      <c r="F11" s="498"/>
      <c r="G11" s="498"/>
      <c r="H11" s="498"/>
      <c r="I11" s="498"/>
      <c r="J11" s="498"/>
      <c r="K11" s="498"/>
      <c r="L11" s="498"/>
      <c r="M11" s="498"/>
      <c r="N11" s="498"/>
    </row>
    <row r="12" spans="2:14" x14ac:dyDescent="0.25">
      <c r="C12" s="498"/>
      <c r="D12" s="498"/>
      <c r="E12" s="498"/>
      <c r="F12" s="498"/>
      <c r="G12" s="498"/>
      <c r="H12" s="498"/>
      <c r="I12" s="498"/>
      <c r="J12" s="498"/>
      <c r="K12" s="498"/>
      <c r="L12" s="498"/>
      <c r="M12" s="498"/>
      <c r="N12" s="498"/>
    </row>
  </sheetData>
  <sortState xmlns:xlrd2="http://schemas.microsoft.com/office/spreadsheetml/2017/richdata2" ref="C10:L10">
    <sortCondition ref="L10"/>
  </sortState>
  <pageMargins left="0.25" right="0.25" top="0.75" bottom="0.75" header="0.3" footer="0.3"/>
  <pageSetup scale="91" orientation="landscape" r:id="rId1"/>
  <headerFooter>
    <oddFooter>&amp;L&amp;Z&amp;F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A28"/>
  <sheetViews>
    <sheetView workbookViewId="0">
      <selection activeCell="B15" sqref="B15"/>
    </sheetView>
  </sheetViews>
  <sheetFormatPr defaultRowHeight="15" x14ac:dyDescent="0.25"/>
  <cols>
    <col min="1" max="1" width="17" customWidth="1"/>
    <col min="2" max="2" width="18.7109375" customWidth="1"/>
    <col min="3" max="3" width="21.42578125" customWidth="1"/>
    <col min="4" max="4" width="14.28515625" bestFit="1" customWidth="1"/>
    <col min="5" max="5" width="12.140625" customWidth="1"/>
    <col min="6" max="27" width="10.140625" bestFit="1" customWidth="1"/>
  </cols>
  <sheetData>
    <row r="3" spans="1:27" x14ac:dyDescent="0.25">
      <c r="D3" s="1" t="s">
        <v>457</v>
      </c>
    </row>
    <row r="4" spans="1:27" x14ac:dyDescent="0.25">
      <c r="B4" s="223" t="s">
        <v>421</v>
      </c>
      <c r="C4" s="133"/>
      <c r="D4" s="104">
        <v>2017</v>
      </c>
      <c r="E4" s="101">
        <v>2018</v>
      </c>
      <c r="F4" s="101">
        <v>2019</v>
      </c>
      <c r="G4" s="101">
        <v>2020</v>
      </c>
      <c r="H4" s="101">
        <v>2021</v>
      </c>
      <c r="I4" s="101">
        <v>2022</v>
      </c>
      <c r="J4" s="101">
        <v>2023</v>
      </c>
      <c r="K4" s="101">
        <v>2024</v>
      </c>
      <c r="L4" s="101">
        <v>2025</v>
      </c>
      <c r="M4" s="101">
        <v>2026</v>
      </c>
      <c r="N4" s="101">
        <v>2027</v>
      </c>
      <c r="O4" s="101">
        <v>2028</v>
      </c>
      <c r="P4" s="101">
        <v>2029</v>
      </c>
      <c r="Q4" s="101">
        <v>2030</v>
      </c>
      <c r="R4" s="101">
        <v>2031</v>
      </c>
      <c r="S4" s="101">
        <v>2032</v>
      </c>
      <c r="T4" s="101">
        <v>2033</v>
      </c>
      <c r="U4" s="101">
        <v>2034</v>
      </c>
      <c r="V4" s="101">
        <v>2035</v>
      </c>
      <c r="W4" s="101">
        <v>2036</v>
      </c>
      <c r="X4" s="101">
        <v>2037</v>
      </c>
      <c r="Y4" s="101">
        <v>2038</v>
      </c>
      <c r="Z4" s="101">
        <v>2039</v>
      </c>
      <c r="AA4" s="102">
        <v>2040</v>
      </c>
    </row>
    <row r="5" spans="1:27" x14ac:dyDescent="0.25">
      <c r="A5" s="506"/>
      <c r="B5" s="505" t="s">
        <v>2</v>
      </c>
      <c r="C5" s="131" t="s">
        <v>415</v>
      </c>
      <c r="D5" s="122">
        <f>VLOOKUP($B$5,Comm_Demand,4,FALSE)</f>
        <v>7604412.2603372829</v>
      </c>
      <c r="E5" s="123">
        <f>VLOOKUP($B$5,Comm_Demand,5,FALSE)</f>
        <v>7606027.2473737774</v>
      </c>
      <c r="F5" s="123">
        <f>VLOOKUP($B$5,Comm_Demand,6,FALSE)</f>
        <v>7606849.4934435096</v>
      </c>
      <c r="G5" s="123">
        <f>VLOOKUP($B$5,Comm_Demand,7,FALSE)</f>
        <v>7606894.6918671085</v>
      </c>
      <c r="H5" s="123">
        <f>VLOOKUP($B$5,Comm_Demand,8,FALSE)</f>
        <v>7623853.5923860352</v>
      </c>
      <c r="I5" s="123">
        <f>VLOOKUP($B$5,Comm_Demand,9,FALSE)</f>
        <v>7639712.6254253974</v>
      </c>
      <c r="J5" s="123">
        <f>VLOOKUP($B$5,Comm_Demand,10,FALSE)</f>
        <v>7654492.0924447328</v>
      </c>
      <c r="K5" s="123">
        <f>VLOOKUP($B$5,Comm_Demand,11,FALSE)</f>
        <v>7668211.9988611396</v>
      </c>
      <c r="L5" s="123">
        <f>VLOOKUP($B$5,Comm_Demand,12,FALSE)</f>
        <v>7680892.0579399746</v>
      </c>
      <c r="M5" s="123">
        <f>VLOOKUP($B$5,Comm_Demand,13,FALSE)</f>
        <v>7692551.6946373452</v>
      </c>
      <c r="N5" s="123">
        <f>VLOOKUP($B$5,Comm_Demand,14,FALSE)</f>
        <v>7703210.0493949754</v>
      </c>
      <c r="O5" s="123">
        <f>VLOOKUP($B$5,Comm_Demand,15,FALSE)</f>
        <v>7712885.9818879887</v>
      </c>
      <c r="P5" s="123">
        <f>VLOOKUP($B$5,Comm_Demand,16,FALSE)</f>
        <v>7721598.0747262035</v>
      </c>
      <c r="Q5" s="123">
        <f>VLOOKUP($B$5,Comm_Demand,17,FALSE)</f>
        <v>7729364.637109464</v>
      </c>
      <c r="R5" s="123">
        <f>VLOOKUP($B$5,Comm_Demand,18,FALSE)</f>
        <v>7726187.9087114902</v>
      </c>
      <c r="S5" s="123">
        <f>VLOOKUP($B$5,Comm_Demand,19,FALSE)</f>
        <v>7722301.7784177633</v>
      </c>
      <c r="T5" s="123">
        <f>VLOOKUP($B$5,Comm_Demand,20,FALSE)</f>
        <v>7717720.7519390415</v>
      </c>
      <c r="U5" s="123">
        <f>VLOOKUP($B$5,Comm_Demand,21,FALSE)</f>
        <v>7712459.115812052</v>
      </c>
      <c r="V5" s="123">
        <f>VLOOKUP($B$5,Comm_Demand,22,FALSE)</f>
        <v>7706530.9403324081</v>
      </c>
      <c r="W5" s="123">
        <f>VLOOKUP($B$5,Comm_Demand,23,FALSE)</f>
        <v>7699950.0824507764</v>
      </c>
      <c r="X5" s="123">
        <f>VLOOKUP($B$5,Comm_Demand,24,FALSE)</f>
        <v>7692730.1886327434</v>
      </c>
      <c r="Y5" s="123">
        <f>VLOOKUP($B$5,Comm_Demand,25,FALSE)</f>
        <v>7684884.6976828258</v>
      </c>
      <c r="Z5" s="123">
        <f>VLOOKUP($B$5,Comm_Demand,26,FALSE)</f>
        <v>7676426.8435330447</v>
      </c>
      <c r="AA5" s="124">
        <f>VLOOKUP($B$5,Comm_Demand,27,FALSE)</f>
        <v>7667369.6579964906</v>
      </c>
    </row>
    <row r="6" spans="1:27" x14ac:dyDescent="0.25">
      <c r="A6" s="506"/>
      <c r="B6" s="573"/>
      <c r="C6" s="131" t="s">
        <v>464</v>
      </c>
      <c r="D6" s="125">
        <f>VLOOKUP($B5,Comm_Conservation,4,FALSE)</f>
        <v>7604412.2603372829</v>
      </c>
      <c r="E6" s="126">
        <f>VLOOKUP($B5,Comm_Conservation,5,FALSE)</f>
        <v>7541391.8538828883</v>
      </c>
      <c r="F6" s="126">
        <f>VLOOKUP($B5,Comm_Conservation,6,FALSE)</f>
        <v>7477564.7317028884</v>
      </c>
      <c r="G6" s="126">
        <f>VLOOKUP($B5,Comm_Conservation,7,FALSE)</f>
        <v>7412966.3969787257</v>
      </c>
      <c r="H6" s="126">
        <f>VLOOKUP($B5,Comm_Conservation,8,FALSE)</f>
        <v>7364706.0711720148</v>
      </c>
      <c r="I6" s="126">
        <f>VLOOKUP($B5,Comm_Conservation,9,FALSE)</f>
        <v>7315104.3801208688</v>
      </c>
      <c r="J6" s="126">
        <f>VLOOKUP($B5,Comm_Conservation,10,FALSE)</f>
        <v>7329255.8736690925</v>
      </c>
      <c r="K6" s="126">
        <f>VLOOKUP($B5,Comm_Conservation,11,FALSE)</f>
        <v>7342392.8269083407</v>
      </c>
      <c r="L6" s="126">
        <f>VLOOKUP($B5,Comm_Conservation,12,FALSE)</f>
        <v>7354534.1154954368</v>
      </c>
      <c r="M6" s="126">
        <f>VLOOKUP($B5,Comm_Conservation,13,FALSE)</f>
        <v>7365698.3390280996</v>
      </c>
      <c r="N6" s="126">
        <f>VLOOKUP($B5,Comm_Conservation,14,FALSE)</f>
        <v>7375903.8246785607</v>
      </c>
      <c r="O6" s="126">
        <f>VLOOKUP($B5,Comm_Conservation,15,FALSE)</f>
        <v>7385168.6307821088</v>
      </c>
      <c r="P6" s="126">
        <f>VLOOKUP($B5,Comm_Conservation,16,FALSE)</f>
        <v>7393510.5503811194</v>
      </c>
      <c r="Q6" s="126">
        <f>VLOOKUP($B5,Comm_Conservation,17,FALSE)</f>
        <v>7400947.1147250701</v>
      </c>
      <c r="R6" s="126">
        <f>VLOOKUP($B5,Comm_Conservation,18,FALSE)</f>
        <v>7397905.3642093325</v>
      </c>
      <c r="S6" s="126">
        <f>VLOOKUP($B5,Comm_Conservation,19,FALSE)</f>
        <v>7394184.353992437</v>
      </c>
      <c r="T6" s="126">
        <f>VLOOKUP($B5,Comm_Conservation,20,FALSE)</f>
        <v>7389797.9734434579</v>
      </c>
      <c r="U6" s="126">
        <f>VLOOKUP($B5,Comm_Conservation,21,FALSE)</f>
        <v>7384759.9020700604</v>
      </c>
      <c r="V6" s="126">
        <f>VLOOKUP($B5,Comm_Conservation,22,FALSE)</f>
        <v>7379083.6123267859</v>
      </c>
      <c r="W6" s="126">
        <f>VLOOKUP($B5,Comm_Conservation,23,FALSE)</f>
        <v>7372782.3723881701</v>
      </c>
      <c r="X6" s="126">
        <f>VLOOKUP($B5,Comm_Conservation,24,FALSE)</f>
        <v>7365869.2488870937</v>
      </c>
      <c r="Y6" s="126">
        <f>VLOOKUP($B5,Comm_Conservation,25,FALSE)</f>
        <v>7358357.1096187998</v>
      </c>
      <c r="Z6" s="126">
        <f>VLOOKUP($B5,Comm_Conservation,26,FALSE)</f>
        <v>7350258.6262109829</v>
      </c>
      <c r="AA6" s="127">
        <f>VLOOKUP($B5,Comm_Conservation,27,FALSE)</f>
        <v>7341586.2767603612</v>
      </c>
    </row>
    <row r="7" spans="1:27" x14ac:dyDescent="0.25">
      <c r="A7" s="506"/>
      <c r="B7" s="574"/>
      <c r="C7" s="132" t="s">
        <v>416</v>
      </c>
      <c r="D7" s="128">
        <f>D5-D6</f>
        <v>0</v>
      </c>
      <c r="E7" s="129">
        <f t="shared" ref="E7:AA7" si="0">E5-E6</f>
        <v>64635.39349088911</v>
      </c>
      <c r="F7" s="129">
        <f t="shared" si="0"/>
        <v>129284.76174062118</v>
      </c>
      <c r="G7" s="129">
        <f t="shared" si="0"/>
        <v>193928.29488838278</v>
      </c>
      <c r="H7" s="129">
        <f t="shared" si="0"/>
        <v>259147.52121402044</v>
      </c>
      <c r="I7" s="129">
        <f t="shared" si="0"/>
        <v>324608.24530452862</v>
      </c>
      <c r="J7" s="129">
        <f t="shared" si="0"/>
        <v>325236.21877564024</v>
      </c>
      <c r="K7" s="129">
        <f t="shared" si="0"/>
        <v>325819.17195279896</v>
      </c>
      <c r="L7" s="129">
        <f t="shared" si="0"/>
        <v>326357.94244453777</v>
      </c>
      <c r="M7" s="129">
        <f t="shared" si="0"/>
        <v>326853.3556092456</v>
      </c>
      <c r="N7" s="129">
        <f t="shared" si="0"/>
        <v>327306.2247164147</v>
      </c>
      <c r="O7" s="129">
        <f t="shared" si="0"/>
        <v>327717.35110587999</v>
      </c>
      <c r="P7" s="129">
        <f t="shared" si="0"/>
        <v>328087.52434508409</v>
      </c>
      <c r="Q7" s="129">
        <f t="shared" si="0"/>
        <v>328417.52238439396</v>
      </c>
      <c r="R7" s="129">
        <f t="shared" si="0"/>
        <v>328282.54450215772</v>
      </c>
      <c r="S7" s="129">
        <f t="shared" si="0"/>
        <v>328117.42442532629</v>
      </c>
      <c r="T7" s="129">
        <f t="shared" si="0"/>
        <v>327922.77849558368</v>
      </c>
      <c r="U7" s="129">
        <f t="shared" si="0"/>
        <v>327699.21374199167</v>
      </c>
      <c r="V7" s="129">
        <f t="shared" si="0"/>
        <v>327447.32800562214</v>
      </c>
      <c r="W7" s="129">
        <f t="shared" si="0"/>
        <v>327167.71006260626</v>
      </c>
      <c r="X7" s="129">
        <f t="shared" si="0"/>
        <v>326860.9397456497</v>
      </c>
      <c r="Y7" s="129">
        <f t="shared" si="0"/>
        <v>326527.58806402609</v>
      </c>
      <c r="Z7" s="129">
        <f t="shared" si="0"/>
        <v>326168.21732206177</v>
      </c>
      <c r="AA7" s="130">
        <f t="shared" si="0"/>
        <v>325783.38123612944</v>
      </c>
    </row>
    <row r="8" spans="1:27" x14ac:dyDescent="0.25">
      <c r="C8" s="349"/>
      <c r="D8" s="347"/>
      <c r="E8" s="347"/>
      <c r="F8" s="347"/>
      <c r="G8" s="347"/>
      <c r="H8" s="347"/>
      <c r="I8" s="347"/>
      <c r="J8" s="347"/>
      <c r="K8" s="347"/>
      <c r="L8" s="347"/>
      <c r="M8" s="347"/>
      <c r="N8" s="347"/>
      <c r="O8" s="347"/>
      <c r="P8" s="347"/>
      <c r="Q8" s="347"/>
      <c r="R8" s="347"/>
      <c r="S8" s="347"/>
      <c r="T8" s="347"/>
      <c r="U8" s="347"/>
      <c r="V8" s="347"/>
      <c r="W8" s="347"/>
      <c r="X8" s="347"/>
      <c r="Y8" s="347"/>
      <c r="Z8" s="347"/>
      <c r="AA8" s="347"/>
    </row>
    <row r="9" spans="1:27" x14ac:dyDescent="0.25">
      <c r="C9" s="349"/>
      <c r="D9" s="348"/>
      <c r="E9" s="348"/>
      <c r="F9" s="348"/>
      <c r="G9" s="348"/>
      <c r="H9" s="348"/>
      <c r="I9" s="348"/>
      <c r="J9" s="348"/>
      <c r="K9" s="348"/>
      <c r="L9" s="348"/>
      <c r="M9" s="348"/>
      <c r="N9" s="348"/>
      <c r="O9" s="348"/>
      <c r="P9" s="348"/>
      <c r="Q9" s="348"/>
      <c r="R9" s="348"/>
      <c r="S9" s="348"/>
      <c r="T9" s="348"/>
      <c r="U9" s="348"/>
      <c r="V9" s="348"/>
      <c r="W9" s="348"/>
      <c r="X9" s="348"/>
      <c r="Y9" s="348"/>
      <c r="Z9" s="348"/>
      <c r="AA9" s="348"/>
    </row>
    <row r="10" spans="1:27" x14ac:dyDescent="0.25">
      <c r="C10" s="346" t="s">
        <v>465</v>
      </c>
      <c r="D10" s="122">
        <f>((VLOOKUP($B$5,'Wells and Costs'!$C$4:$AD$4,5,FALSE))+((VLOOKUP($B$5,'Wells and Costs'!$C$4:$D$4,2,FALSE))-1))*(VLOOKUP($B$5,'Wells and Costs'!$C$4:$E$4,3,FALSE)*(VLOOKUP($B$5,'Wells and Costs'!$C$4:$F$4,4,FALSE)))</f>
        <v>6843971.0343035553</v>
      </c>
      <c r="E10" s="123">
        <f>((VLOOKUP($B$5,'Wells and Costs'!$C$4:$AD$4,6,FALSE))+((VLOOKUP($B$5,'Wells and Costs'!$C$4:$D$4,2,FALSE))-1))*(VLOOKUP($B$5,'Wells and Costs'!$C$4:$E$4,3,FALSE)*(VLOOKUP($B$5,'Wells and Costs'!$C$4:$F$4,4,FALSE)))</f>
        <v>8212765.2411642671</v>
      </c>
      <c r="F10" s="123">
        <f>((VLOOKUP($B$5,'Wells and Costs'!$C$4:$AD$4,7,FALSE))+((VLOOKUP($B$5,'Wells and Costs'!$C$4:$D$4,2,FALSE))-1))*(VLOOKUP($B$5,'Wells and Costs'!$C$4:$E$4,3,FALSE)*(VLOOKUP($B$5,'Wells and Costs'!$C$4:$F$4,4,FALSE)))</f>
        <v>8212765.2411642671</v>
      </c>
      <c r="G10" s="123">
        <f>((VLOOKUP($B$5,'Wells and Costs'!$C$4:$AD$4,8,FALSE))+((VLOOKUP($B$5,'Wells and Costs'!$C$4:$D$4,2,FALSE))-1))*(VLOOKUP($B$5,'Wells and Costs'!$C$4:$E$4,3,FALSE)*(VLOOKUP($B$5,'Wells and Costs'!$C$4:$F$4,4,FALSE)))</f>
        <v>8212765.2411642671</v>
      </c>
      <c r="H10" s="123">
        <f>((VLOOKUP($B$5,'Wells and Costs'!$C$4:$AD$4,9,FALSE))+((VLOOKUP($B$5,'Wells and Costs'!$C$4:$D$4,2,FALSE))-1))*(VLOOKUP($B$5,'Wells and Costs'!$C$4:$E$4,3,FALSE)*(VLOOKUP($B$5,'Wells and Costs'!$C$4:$F$4,4,FALSE)))</f>
        <v>8212765.2411642671</v>
      </c>
      <c r="I10" s="123">
        <f>((VLOOKUP($B$5,'Wells and Costs'!$C$4:$AD$4,10,FALSE))+((VLOOKUP($B$5,'Wells and Costs'!$C$4:$D$4,2,FALSE))-1))*(VLOOKUP($B$5,'Wells and Costs'!$C$4:$E$4,3,FALSE)*(VLOOKUP($B$5,'Wells and Costs'!$C$4:$F$4,4,FALSE)))</f>
        <v>8212765.2411642671</v>
      </c>
      <c r="J10" s="123">
        <f>((VLOOKUP($B$5,'Wells and Costs'!$C$4:$AD$4,11,FALSE))+((VLOOKUP($B$5,'Wells and Costs'!$C$4:$D$4,2,FALSE))-1))*(VLOOKUP($B$5,'Wells and Costs'!$C$4:$E$4,3,FALSE)*(VLOOKUP($B$5,'Wells and Costs'!$C$4:$F$4,4,FALSE)))</f>
        <v>8212765.2411642671</v>
      </c>
      <c r="K10" s="123">
        <f>((VLOOKUP($B$5,'Wells and Costs'!$C$4:$AD$4,12,FALSE))+((VLOOKUP($B$5,'Wells and Costs'!$C$4:$D$4,2,FALSE))-1))*(VLOOKUP($B$5,'Wells and Costs'!$C$4:$E$4,3,FALSE)*(VLOOKUP($B$5,'Wells and Costs'!$C$4:$F$4,4,FALSE)))</f>
        <v>8212765.2411642671</v>
      </c>
      <c r="L10" s="123">
        <f>((VLOOKUP($B$5,'Wells and Costs'!$C$4:$AD$4,13,FALSE))+((VLOOKUP($B$5,'Wells and Costs'!$C$4:$D$4,2,FALSE))-1))*(VLOOKUP($B$5,'Wells and Costs'!$C$4:$E$4,3,FALSE)*(VLOOKUP($B$5,'Wells and Costs'!$C$4:$F$4,4,FALSE)))</f>
        <v>8212765.2411642671</v>
      </c>
      <c r="M10" s="123">
        <f>((VLOOKUP($B$5,'Wells and Costs'!$C$4:$AD$4,14,FALSE))+((VLOOKUP($B$5,'Wells and Costs'!$C$4:$D$4,2,FALSE))-1))*(VLOOKUP($B$5,'Wells and Costs'!$C$4:$E$4,3,FALSE)*(VLOOKUP($B$5,'Wells and Costs'!$C$4:$F$4,4,FALSE)))</f>
        <v>8212765.2411642671</v>
      </c>
      <c r="N10" s="123">
        <f>((VLOOKUP($B$5,'Wells and Costs'!$C$4:$AD$4,15,FALSE))+((VLOOKUP($B$5,'Wells and Costs'!$C$4:$D$4,2,FALSE))-1))*(VLOOKUP($B$5,'Wells and Costs'!$C$4:$E$4,3,FALSE)*(VLOOKUP($B$5,'Wells and Costs'!$C$4:$F$4,4,FALSE)))</f>
        <v>8212765.2411642671</v>
      </c>
      <c r="O10" s="123">
        <f>((VLOOKUP($B$5,'Wells and Costs'!$C$4:$AD$4,16,FALSE))+((VLOOKUP($B$5,'Wells and Costs'!$C$4:$D$4,2,FALSE))-1))*(VLOOKUP($B$5,'Wells and Costs'!$C$4:$E$4,3,FALSE)*(VLOOKUP($B$5,'Wells and Costs'!$C$4:$F$4,4,FALSE)))</f>
        <v>8212765.2411642671</v>
      </c>
      <c r="P10" s="123">
        <f>((VLOOKUP($B$5,'Wells and Costs'!$C$4:$AD$4,17,FALSE))+((VLOOKUP($B$5,'Wells and Costs'!$C$4:$D$4,2,FALSE))-1))*(VLOOKUP($B$5,'Wells and Costs'!$C$4:$E$4,3,FALSE)*(VLOOKUP($B$5,'Wells and Costs'!$C$4:$F$4,4,FALSE)))</f>
        <v>8212765.2411642671</v>
      </c>
      <c r="Q10" s="123">
        <f>((VLOOKUP($B$5,'Wells and Costs'!$C$4:$AD$4,18,FALSE))+((VLOOKUP($B$5,'Wells and Costs'!$C$4:$D$4,2,FALSE))-1))*(VLOOKUP($B$5,'Wells and Costs'!$C$4:$E$4,3,FALSE)*(VLOOKUP($B$5,'Wells and Costs'!$C$4:$F$4,4,FALSE)))</f>
        <v>8212765.2411642671</v>
      </c>
      <c r="R10" s="123">
        <f>((VLOOKUP($B$5,'Wells and Costs'!$C$4:$AD$4,19,FALSE))+((VLOOKUP($B$5,'Wells and Costs'!$C$4:$D$4,2,FALSE))-1))*(VLOOKUP($B$5,'Wells and Costs'!$C$4:$E$4,3,FALSE)*(VLOOKUP($B$5,'Wells and Costs'!$C$4:$F$4,4,FALSE)))</f>
        <v>8212765.2411642671</v>
      </c>
      <c r="S10" s="123">
        <f>((VLOOKUP($B$5,'Wells and Costs'!$C$4:$AD$4,20,FALSE))+((VLOOKUP($B$5,'Wells and Costs'!$C$4:$D$4,2,FALSE))-1))*(VLOOKUP($B$5,'Wells and Costs'!$C$4:$E$4,3,FALSE)*(VLOOKUP($B$5,'Wells and Costs'!$C$4:$F$4,4,FALSE)))</f>
        <v>8212765.2411642671</v>
      </c>
      <c r="T10" s="123">
        <f>((VLOOKUP($B$5,'Wells and Costs'!$C$4:$AD$4,21,FALSE))+((VLOOKUP($B$5,'Wells and Costs'!$C$4:$D$4,2,FALSE))-1))*(VLOOKUP($B$5,'Wells and Costs'!$C$4:$E$4,3,FALSE)*(VLOOKUP($B$5,'Wells and Costs'!$C$4:$F$4,4,FALSE)))</f>
        <v>8212765.2411642671</v>
      </c>
      <c r="U10" s="123">
        <f>((VLOOKUP($B$5,'Wells and Costs'!$C$4:$AD$4,22,FALSE))+((VLOOKUP($B$5,'Wells and Costs'!$C$4:$D$4,2,FALSE))-1))*(VLOOKUP($B$5,'Wells and Costs'!$C$4:$E$4,3,FALSE)*(VLOOKUP($B$5,'Wells and Costs'!$C$4:$F$4,4,FALSE)))</f>
        <v>8212765.2411642671</v>
      </c>
      <c r="V10" s="123">
        <f>((VLOOKUP($B$5,'Wells and Costs'!$C$4:$AD$4,23,FALSE))+((VLOOKUP($B$5,'Wells and Costs'!$C$4:$D$4,2,FALSE))-1))*(VLOOKUP($B$5,'Wells and Costs'!$C$4:$E$4,3,FALSE)*(VLOOKUP($B$5,'Wells and Costs'!$C$4:$F$4,4,FALSE)))</f>
        <v>8212765.2411642671</v>
      </c>
      <c r="W10" s="123">
        <f>((VLOOKUP($B$5,'Wells and Costs'!$C$4:$AD$4,24,FALSE))+((VLOOKUP($B$5,'Wells and Costs'!$C$4:$D$4,2,FALSE))-1))*(VLOOKUP($B$5,'Wells and Costs'!$C$4:$E$4,3,FALSE)*(VLOOKUP($B$5,'Wells and Costs'!$C$4:$F$4,4,FALSE)))</f>
        <v>8212765.2411642671</v>
      </c>
      <c r="X10" s="123">
        <f>((VLOOKUP($B$5,'Wells and Costs'!$C$4:$AD$4,25,FALSE))+((VLOOKUP($B$5,'Wells and Costs'!$C$4:$D$4,2,FALSE))-1))*(VLOOKUP($B$5,'Wells and Costs'!$C$4:$E$4,3,FALSE)*(VLOOKUP($B$5,'Wells and Costs'!$C$4:$F$4,4,FALSE)))</f>
        <v>8212765.2411642671</v>
      </c>
      <c r="Y10" s="123">
        <f>((VLOOKUP($B$5,'Wells and Costs'!$C$4:$AD$4,26,FALSE))+((VLOOKUP($B$5,'Wells and Costs'!$C$4:$D$4,2,FALSE))-1))*(VLOOKUP($B$5,'Wells and Costs'!$C$4:$E$4,3,FALSE)*(VLOOKUP($B$5,'Wells and Costs'!$C$4:$F$4,4,FALSE)))</f>
        <v>8212765.2411642671</v>
      </c>
      <c r="Z10" s="123">
        <f>((VLOOKUP($B$5,'Wells and Costs'!$C$4:$AD$4,27,FALSE))+((VLOOKUP($B$5,'Wells and Costs'!$C$4:$D$4,2,FALSE))-1))*(VLOOKUP($B$5,'Wells and Costs'!$C$4:$E$4,3,FALSE)*(VLOOKUP($B$5,'Wells and Costs'!$C$4:$F$4,4,FALSE)))</f>
        <v>8212765.2411642671</v>
      </c>
      <c r="AA10" s="124">
        <f>((VLOOKUP($B$5,'Wells and Costs'!$C$4:$AD$4,28,FALSE))+((VLOOKUP($B$5,'Wells and Costs'!$C$4:$D$4,2,FALSE))-1))*(VLOOKUP($B$5,'Wells and Costs'!$C$4:$E$4,3,FALSE)*(VLOOKUP($B$5,'Wells and Costs'!$C$4:$F$4,4,FALSE)))</f>
        <v>8212765.2411642671</v>
      </c>
    </row>
    <row r="11" spans="1:27" x14ac:dyDescent="0.25">
      <c r="C11" s="346" t="s">
        <v>466</v>
      </c>
      <c r="D11" s="391">
        <f>((VLOOKUP($B$5,'Wells with Cons &amp; Costs'!$C$4:$AD$4,5,FALSE))+((VLOOKUP($B$5,'Wells with Cons &amp; Costs'!$C$4:$D$4,2,FALSE))-1))*(VLOOKUP($B$5,'Wells with Cons &amp; Costs'!$C$4:$E$4,3,FALSE)*(VLOOKUP($B$5,'Wells with Cons &amp; Costs'!$C$4:$F$4,4,FALSE)))</f>
        <v>6843971.0343035553</v>
      </c>
      <c r="E11" s="129">
        <f>((VLOOKUP($B$5,'Wells with Cons &amp; Costs'!$C$4:$AD$4,6,FALSE))+((VLOOKUP($B$5,'Wells with Cons &amp; Costs'!$C$4:$D$4,2,FALSE))-1))*(VLOOKUP($B$5,'Wells with Cons &amp; Costs'!$C$4:$E$4,3,FALSE)*(VLOOKUP($B$5,'Wells with Cons &amp; Costs'!$C$4:$F$4,4,FALSE)))</f>
        <v>8212765.2411642671</v>
      </c>
      <c r="F11" s="129">
        <f>((VLOOKUP($B$5,'Wells with Cons &amp; Costs'!$C$4:$AD$4,7,FALSE))+((VLOOKUP($B$5,'Wells with Cons &amp; Costs'!$C$4:$D$4,2,FALSE))-1))*(VLOOKUP($B$5,'Wells with Cons &amp; Costs'!$C$4:$E$4,3,FALSE)*(VLOOKUP($B$5,'Wells with Cons &amp; Costs'!$C$4:$F$4,4,FALSE)))</f>
        <v>8212765.2411642671</v>
      </c>
      <c r="G11" s="129">
        <f>((VLOOKUP($B$5,'Wells with Cons &amp; Costs'!$C$4:$AD$4,8,FALSE))+((VLOOKUP($B$5,'Wells with Cons &amp; Costs'!$C$4:$D$4,2,FALSE))-1))*(VLOOKUP($B$5,'Wells with Cons &amp; Costs'!$C$4:$E$4,3,FALSE)*(VLOOKUP($B$5,'Wells with Cons &amp; Costs'!$C$4:$F$4,4,FALSE)))</f>
        <v>8212765.2411642671</v>
      </c>
      <c r="H11" s="129">
        <f>((VLOOKUP($B$5,'Wells with Cons &amp; Costs'!$C$4:$AD$4,9,FALSE))+((VLOOKUP($B$5,'Wells with Cons &amp; Costs'!$C$4:$D$4,2,FALSE))-1))*(VLOOKUP($B$5,'Wells with Cons &amp; Costs'!$C$4:$E$4,3,FALSE)*(VLOOKUP($B$5,'Wells with Cons &amp; Costs'!$C$4:$F$4,4,FALSE)))</f>
        <v>8212765.2411642671</v>
      </c>
      <c r="I11" s="129">
        <f>((VLOOKUP($B$5,'Wells with Cons &amp; Costs'!$C$4:$AD$4,10,FALSE))+((VLOOKUP($B$5,'Wells with Cons &amp; Costs'!$C$4:$D$4,2,FALSE))-1))*(VLOOKUP($B$5,'Wells with Cons &amp; Costs'!$C$4:$E$4,3,FALSE)*(VLOOKUP($B$5,'Wells with Cons &amp; Costs'!$C$4:$F$4,4,FALSE)))</f>
        <v>8212765.2411642671</v>
      </c>
      <c r="J11" s="129">
        <f>((VLOOKUP($B$5,'Wells with Cons &amp; Costs'!$C$4:$AD$4,11,FALSE))+((VLOOKUP($B$5,'Wells with Cons &amp; Costs'!$C$4:$D$4,2,FALSE))-1))*(VLOOKUP($B$5,'Wells with Cons &amp; Costs'!$C$4:$E$4,3,FALSE)*(VLOOKUP($B$5,'Wells with Cons &amp; Costs'!$C$4:$F$4,4,FALSE)))</f>
        <v>8212765.2411642671</v>
      </c>
      <c r="K11" s="129">
        <f>((VLOOKUP($B$5,'Wells with Cons &amp; Costs'!$C$4:$AD$4,12,FALSE))+((VLOOKUP($B$5,'Wells with Cons &amp; Costs'!$C$4:$D$4,2,FALSE))-1))*(VLOOKUP($B$5,'Wells with Cons &amp; Costs'!$C$4:$E$4,3,FALSE)*(VLOOKUP($B$5,'Wells with Cons &amp; Costs'!$C$4:$F$4,4,FALSE)))</f>
        <v>8212765.2411642671</v>
      </c>
      <c r="L11" s="129">
        <f>((VLOOKUP($B$5,'Wells with Cons &amp; Costs'!$C$4:$AD$4,13,FALSE))+((VLOOKUP($B$5,'Wells with Cons &amp; Costs'!$C$4:$D$4,2,FALSE))-1))*(VLOOKUP($B$5,'Wells with Cons &amp; Costs'!$C$4:$E$4,3,FALSE)*(VLOOKUP($B$5,'Wells with Cons &amp; Costs'!$C$4:$F$4,4,FALSE)))</f>
        <v>8212765.2411642671</v>
      </c>
      <c r="M11" s="129">
        <f>((VLOOKUP($B$5,'Wells with Cons &amp; Costs'!$C$4:$AD$4,14,FALSE))+((VLOOKUP($B$5,'Wells with Cons &amp; Costs'!$C$4:$D$4,2,FALSE))-1))*(VLOOKUP($B$5,'Wells with Cons &amp; Costs'!$C$4:$E$4,3,FALSE)*(VLOOKUP($B$5,'Wells with Cons &amp; Costs'!$C$4:$F$4,4,FALSE)))</f>
        <v>8212765.2411642671</v>
      </c>
      <c r="N11" s="129">
        <f>((VLOOKUP($B$5,'Wells with Cons &amp; Costs'!$C$4:$AD$4,15,FALSE))+((VLOOKUP($B$5,'Wells with Cons &amp; Costs'!$C$4:$D$4,2,FALSE))-1))*(VLOOKUP($B$5,'Wells with Cons &amp; Costs'!$C$4:$E$4,3,FALSE)*(VLOOKUP($B$5,'Wells with Cons &amp; Costs'!$C$4:$F$4,4,FALSE)))</f>
        <v>8212765.2411642671</v>
      </c>
      <c r="O11" s="129">
        <f>((VLOOKUP($B$5,'Wells with Cons &amp; Costs'!$C$4:$AD$4,16,FALSE))+((VLOOKUP($B$5,'Wells with Cons &amp; Costs'!$C$4:$D$4,2,FALSE))-1))*(VLOOKUP($B$5,'Wells with Cons &amp; Costs'!$C$4:$E$4,3,FALSE)*(VLOOKUP($B$5,'Wells with Cons &amp; Costs'!$C$4:$F$4,4,FALSE)))</f>
        <v>8212765.2411642671</v>
      </c>
      <c r="P11" s="129">
        <f>((VLOOKUP($B$5,'Wells with Cons &amp; Costs'!$C$4:$AD$4,17,FALSE))+((VLOOKUP($B$5,'Wells with Cons &amp; Costs'!$C$4:$D$4,2,FALSE))-1))*(VLOOKUP($B$5,'Wells with Cons &amp; Costs'!$C$4:$E$4,3,FALSE)*(VLOOKUP($B$5,'Wells with Cons &amp; Costs'!$C$4:$F$4,4,FALSE)))</f>
        <v>8212765.2411642671</v>
      </c>
      <c r="Q11" s="129">
        <f>((VLOOKUP($B$5,'Wells with Cons &amp; Costs'!$C$4:$AD$4,18,FALSE))+((VLOOKUP($B$5,'Wells with Cons &amp; Costs'!$C$4:$D$4,2,FALSE))-1))*(VLOOKUP($B$5,'Wells with Cons &amp; Costs'!$C$4:$E$4,3,FALSE)*(VLOOKUP($B$5,'Wells with Cons &amp; Costs'!$C$4:$F$4,4,FALSE)))</f>
        <v>8212765.2411642671</v>
      </c>
      <c r="R11" s="129">
        <f>((VLOOKUP($B$5,'Wells with Cons &amp; Costs'!$C$4:$AD$4,19,FALSE))+((VLOOKUP($B$5,'Wells with Cons &amp; Costs'!$C$4:$D$4,2,FALSE))-1))*(VLOOKUP($B$5,'Wells with Cons &amp; Costs'!$C$4:$E$4,3,FALSE)*(VLOOKUP($B$5,'Wells with Cons &amp; Costs'!$C$4:$F$4,4,FALSE)))</f>
        <v>8212765.2411642671</v>
      </c>
      <c r="S11" s="129">
        <f>((VLOOKUP($B$5,'Wells with Cons &amp; Costs'!$C$4:$AD$4,20,FALSE))+((VLOOKUP($B$5,'Wells with Cons &amp; Costs'!$C$4:$D$4,2,FALSE))-1))*(VLOOKUP($B$5,'Wells with Cons &amp; Costs'!$C$4:$E$4,3,FALSE)*(VLOOKUP($B$5,'Wells with Cons &amp; Costs'!$C$4:$F$4,4,FALSE)))</f>
        <v>8212765.2411642671</v>
      </c>
      <c r="T11" s="129">
        <f>((VLOOKUP($B$5,'Wells with Cons &amp; Costs'!$C$4:$AD$4,21,FALSE))+((VLOOKUP($B$5,'Wells with Cons &amp; Costs'!$C$4:$D$4,2,FALSE))-1))*(VLOOKUP($B$5,'Wells with Cons &amp; Costs'!$C$4:$E$4,3,FALSE)*(VLOOKUP($B$5,'Wells with Cons &amp; Costs'!$C$4:$F$4,4,FALSE)))</f>
        <v>8212765.2411642671</v>
      </c>
      <c r="U11" s="129">
        <f>((VLOOKUP($B$5,'Wells with Cons &amp; Costs'!$C$4:$AD$4,22,FALSE))+((VLOOKUP($B$5,'Wells with Cons &amp; Costs'!$C$4:$D$4,2,FALSE))-1))*(VLOOKUP($B$5,'Wells with Cons &amp; Costs'!$C$4:$E$4,3,FALSE)*(VLOOKUP($B$5,'Wells with Cons &amp; Costs'!$C$4:$F$4,4,FALSE)))</f>
        <v>8212765.2411642671</v>
      </c>
      <c r="V11" s="129">
        <f>((VLOOKUP($B$5,'Wells with Cons &amp; Costs'!$C$4:$AD$4,23,FALSE))+((VLOOKUP($B$5,'Wells with Cons &amp; Costs'!$C$4:$D$4,2,FALSE))-1))*(VLOOKUP($B$5,'Wells with Cons &amp; Costs'!$C$4:$E$4,3,FALSE)*(VLOOKUP($B$5,'Wells with Cons &amp; Costs'!$C$4:$F$4,4,FALSE)))</f>
        <v>8212765.2411642671</v>
      </c>
      <c r="W11" s="129">
        <f>((VLOOKUP($B$5,'Wells with Cons &amp; Costs'!$C$4:$AD$4,24,FALSE))+((VLOOKUP($B$5,'Wells with Cons &amp; Costs'!$C$4:$D$4,2,FALSE))-1))*(VLOOKUP($B$5,'Wells with Cons &amp; Costs'!$C$4:$E$4,3,FALSE)*(VLOOKUP($B$5,'Wells with Cons &amp; Costs'!$C$4:$F$4,4,FALSE)))</f>
        <v>8212765.2411642671</v>
      </c>
      <c r="X11" s="129">
        <f>((VLOOKUP($B$5,'Wells with Cons &amp; Costs'!$C$4:$AD$4,25,FALSE))+((VLOOKUP($B$5,'Wells with Cons &amp; Costs'!$C$4:$D$4,2,FALSE))-1))*(VLOOKUP($B$5,'Wells with Cons &amp; Costs'!$C$4:$E$4,3,FALSE)*(VLOOKUP($B$5,'Wells with Cons &amp; Costs'!$C$4:$F$4,4,FALSE)))</f>
        <v>8212765.2411642671</v>
      </c>
      <c r="Y11" s="129">
        <f>((VLOOKUP($B$5,'Wells with Cons &amp; Costs'!$C$4:$AD$4,26,FALSE))+((VLOOKUP($B$5,'Wells with Cons &amp; Costs'!$C$4:$D$4,2,FALSE))-1))*(VLOOKUP($B$5,'Wells with Cons &amp; Costs'!$C$4:$E$4,3,FALSE)*(VLOOKUP($B$5,'Wells with Cons &amp; Costs'!$C$4:$F$4,4,FALSE)))</f>
        <v>8212765.2411642671</v>
      </c>
      <c r="Z11" s="129">
        <f>((VLOOKUP($B$5,'Wells with Cons &amp; Costs'!$C$4:$AD$4,27,FALSE))+((VLOOKUP($B$5,'Wells with Cons &amp; Costs'!$C$4:$D$4,2,FALSE))-1))*(VLOOKUP($B$5,'Wells with Cons &amp; Costs'!$C$4:$E$4,3,FALSE)*(VLOOKUP($B$5,'Wells with Cons &amp; Costs'!$C$4:$F$4,4,FALSE)))</f>
        <v>8212765.2411642671</v>
      </c>
      <c r="AA11" s="130">
        <f>((VLOOKUP($B$5,'Wells with Cons &amp; Costs'!$C$4:$AD$4,28,FALSE))+((VLOOKUP($B$5,'Wells with Cons &amp; Costs'!$C$4:$D$4,2,FALSE))-1))*(VLOOKUP($B$5,'Wells with Cons &amp; Costs'!$C$4:$E$4,3,FALSE)*(VLOOKUP($B$5,'Wells with Cons &amp; Costs'!$C$4:$F$4,4,FALSE)))</f>
        <v>8212765.2411642671</v>
      </c>
    </row>
    <row r="28" spans="17:17" x14ac:dyDescent="0.25">
      <c r="Q28" t="s">
        <v>463</v>
      </c>
    </row>
  </sheetData>
  <dataValidations count="1">
    <dataValidation type="list" allowBlank="1" showInputMessage="1" showErrorMessage="1" sqref="B5" xr:uid="{00000000-0002-0000-0500-000000000000}">
      <formula1>Comm_Inputs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B3:B4"/>
  <sheetViews>
    <sheetView workbookViewId="0"/>
  </sheetViews>
  <sheetFormatPr defaultRowHeight="15" x14ac:dyDescent="0.25"/>
  <sheetData>
    <row r="3" spans="2:2" x14ac:dyDescent="0.25">
      <c r="B3" t="s">
        <v>387</v>
      </c>
    </row>
    <row r="4" spans="2:2" x14ac:dyDescent="0.25">
      <c r="B4" t="s">
        <v>386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2:AG7"/>
  <sheetViews>
    <sheetView workbookViewId="0">
      <selection activeCell="C6" sqref="C6"/>
    </sheetView>
  </sheetViews>
  <sheetFormatPr defaultRowHeight="15" x14ac:dyDescent="0.25"/>
  <cols>
    <col min="1" max="1" width="3.28515625" customWidth="1"/>
    <col min="2" max="2" width="8.85546875" customWidth="1"/>
    <col min="3" max="3" width="35.28515625" customWidth="1"/>
  </cols>
  <sheetData>
    <row r="2" spans="2:33" x14ac:dyDescent="0.25">
      <c r="B2" s="59"/>
    </row>
    <row r="3" spans="2:33" x14ac:dyDescent="0.25">
      <c r="B3" s="72"/>
      <c r="C3" s="507" t="s">
        <v>0</v>
      </c>
      <c r="D3" s="575" t="s">
        <v>1</v>
      </c>
      <c r="E3" s="576"/>
      <c r="F3" s="576"/>
      <c r="G3" s="577"/>
      <c r="H3" s="578" t="s">
        <v>1</v>
      </c>
      <c r="I3" s="579"/>
      <c r="J3" s="579"/>
      <c r="K3" s="579"/>
      <c r="L3" s="579"/>
      <c r="M3" s="579"/>
      <c r="N3" s="579"/>
      <c r="O3" s="579"/>
      <c r="P3" s="579"/>
      <c r="Q3" s="579"/>
      <c r="R3" s="579"/>
      <c r="S3" s="579"/>
      <c r="T3" s="579"/>
      <c r="U3" s="579"/>
      <c r="V3" s="579"/>
      <c r="W3" s="579"/>
      <c r="X3" s="579"/>
      <c r="Y3" s="579"/>
      <c r="Z3" s="579"/>
      <c r="AA3" s="579"/>
      <c r="AB3" s="579"/>
      <c r="AC3" s="579"/>
      <c r="AD3" s="579"/>
      <c r="AE3" s="580"/>
      <c r="AF3" s="509" t="s">
        <v>456</v>
      </c>
    </row>
    <row r="4" spans="2:33" x14ac:dyDescent="0.25">
      <c r="B4" s="73"/>
      <c r="C4" s="508"/>
      <c r="D4" s="134">
        <v>2010</v>
      </c>
      <c r="E4" s="135">
        <v>2020</v>
      </c>
      <c r="F4" s="135">
        <v>2030</v>
      </c>
      <c r="G4" s="136">
        <v>2040</v>
      </c>
      <c r="H4" s="137">
        <v>2017</v>
      </c>
      <c r="I4" s="138">
        <v>2018</v>
      </c>
      <c r="J4" s="138">
        <v>2019</v>
      </c>
      <c r="K4" s="138">
        <v>2020</v>
      </c>
      <c r="L4" s="138">
        <v>2021</v>
      </c>
      <c r="M4" s="138">
        <v>2022</v>
      </c>
      <c r="N4" s="138">
        <v>2023</v>
      </c>
      <c r="O4" s="138">
        <v>2024</v>
      </c>
      <c r="P4" s="138">
        <v>2025</v>
      </c>
      <c r="Q4" s="138">
        <v>2026</v>
      </c>
      <c r="R4" s="138">
        <v>2027</v>
      </c>
      <c r="S4" s="138">
        <v>2028</v>
      </c>
      <c r="T4" s="138">
        <v>2029</v>
      </c>
      <c r="U4" s="138">
        <v>2030</v>
      </c>
      <c r="V4" s="138">
        <v>2031</v>
      </c>
      <c r="W4" s="138">
        <v>2032</v>
      </c>
      <c r="X4" s="138">
        <v>2033</v>
      </c>
      <c r="Y4" s="138">
        <v>2034</v>
      </c>
      <c r="Z4" s="138">
        <v>2035</v>
      </c>
      <c r="AA4" s="138">
        <v>2036</v>
      </c>
      <c r="AB4" s="138">
        <v>2037</v>
      </c>
      <c r="AC4" s="138">
        <v>2038</v>
      </c>
      <c r="AD4" s="138">
        <v>2039</v>
      </c>
      <c r="AE4" s="139">
        <v>2040</v>
      </c>
      <c r="AF4" s="509"/>
    </row>
    <row r="5" spans="2:33" x14ac:dyDescent="0.25">
      <c r="B5" s="379"/>
      <c r="C5" s="435" t="str">
        <f>'Community Inputs'!C11</f>
        <v>Andover, City of</v>
      </c>
      <c r="D5" s="436">
        <f>VLOOKUP(C5,'MPARS INV &amp; Thrive Forecast'!$C$6:$L$99,7,FALSE)</f>
        <v>30598</v>
      </c>
      <c r="E5" s="437">
        <f>VLOOKUP(C5,'MPARS INV &amp; Thrive Forecast'!$C$6:$L$99,8,FALSE)</f>
        <v>34000</v>
      </c>
      <c r="F5" s="437">
        <f>VLOOKUP(C5,'MPARS INV &amp; Thrive Forecast'!$C$6:$L$99,9,FALSE)</f>
        <v>38200</v>
      </c>
      <c r="G5" s="438">
        <f>VLOOKUP(C5,'MPARS INV &amp; Thrive Forecast'!$C$6:$L$99,10,FALSE)</f>
        <v>41900</v>
      </c>
      <c r="H5" s="439">
        <f>D5+(((E5-D5)/10)*7)</f>
        <v>32979.4</v>
      </c>
      <c r="I5" s="440">
        <f>D5+(((E5-D5)/10)*8)</f>
        <v>33319.599999999999</v>
      </c>
      <c r="J5" s="440">
        <f>D5+(((E5-D5)/10)*9)</f>
        <v>33659.800000000003</v>
      </c>
      <c r="K5" s="440">
        <f>D5+(((E5-D5)/10)*10)</f>
        <v>34000</v>
      </c>
      <c r="L5" s="440">
        <f>$E5+((($F5-$E5)/10)*1)</f>
        <v>34420</v>
      </c>
      <c r="M5" s="440">
        <f>$E5+((($F5-$E5)/10)*2)</f>
        <v>34840</v>
      </c>
      <c r="N5" s="440">
        <f>$E5+((($F5-$E5)/10)*3)</f>
        <v>35260</v>
      </c>
      <c r="O5" s="440">
        <f>$E5+((($F5-$E5)/10)*4)</f>
        <v>35680</v>
      </c>
      <c r="P5" s="440">
        <f>$E5+((($F5-$E5)/10)*5)</f>
        <v>36100</v>
      </c>
      <c r="Q5" s="440">
        <f>$E5+((($F5-$E5)/10)*6)</f>
        <v>36520</v>
      </c>
      <c r="R5" s="440">
        <f>$E5+((($F5-$E5)/10)*7)</f>
        <v>36940</v>
      </c>
      <c r="S5" s="440">
        <f>$E5+((($F5-$E5)/10)*8)</f>
        <v>37360</v>
      </c>
      <c r="T5" s="440">
        <f>$E5+((($F5-$E5)/10)*9)</f>
        <v>37780</v>
      </c>
      <c r="U5" s="440">
        <f>$E5+((($F5-$E5)/10)*10)</f>
        <v>38200</v>
      </c>
      <c r="V5" s="440">
        <f>$F5+((($G5-$F5)/10)*1)</f>
        <v>38570</v>
      </c>
      <c r="W5" s="440">
        <f>$F5+((($G5-$F5)/10)*2)</f>
        <v>38940</v>
      </c>
      <c r="X5" s="440">
        <f>$F5+((($G5-$F5)/10)*3)</f>
        <v>39310</v>
      </c>
      <c r="Y5" s="440">
        <f>$F5+((($G5-$F5)/10)*4)</f>
        <v>39680</v>
      </c>
      <c r="Z5" s="440">
        <f>$F5+((($G5-$F5)/10)*5)</f>
        <v>40050</v>
      </c>
      <c r="AA5" s="440">
        <f>$F5+((($G5-$F5)/10)*6)</f>
        <v>40420</v>
      </c>
      <c r="AB5" s="440">
        <f>$F5+((($G5-$F5)/10)*7)</f>
        <v>40790</v>
      </c>
      <c r="AC5" s="440">
        <f>$F5+((($G5-$F5)/10)*8)</f>
        <v>41160</v>
      </c>
      <c r="AD5" s="440">
        <f>$F5+((($G5-$F5)/10)*9)</f>
        <v>41530</v>
      </c>
      <c r="AE5" s="441">
        <f>$F5+((($G5-$F5)/10)*10)</f>
        <v>41900</v>
      </c>
      <c r="AF5" s="85">
        <f>(AE5-H5)/H5</f>
        <v>0.27049006349418114</v>
      </c>
      <c r="AG5" s="85"/>
    </row>
    <row r="7" spans="2:33" x14ac:dyDescent="0.25">
      <c r="E7" s="2"/>
      <c r="F7" s="2"/>
      <c r="G7" s="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E076782839B649897B46AAC35C2560" ma:contentTypeVersion="11" ma:contentTypeDescription="Create a new document." ma:contentTypeScope="" ma:versionID="519bc8800b57fd4acd10bf981d3e6c4a">
  <xsd:schema xmlns:xsd="http://www.w3.org/2001/XMLSchema" xmlns:xs="http://www.w3.org/2001/XMLSchema" xmlns:p="http://schemas.microsoft.com/office/2006/metadata/properties" xmlns:ns3="fbc9ddb9-60f1-44dd-bacd-a60526c6a490" xmlns:ns4="6986ebf5-dbbf-4efc-b123-773767dc3000" targetNamespace="http://schemas.microsoft.com/office/2006/metadata/properties" ma:root="true" ma:fieldsID="5423877c29da9fa940b1cb666e929bf7" ns3:_="" ns4:_="">
    <xsd:import namespace="fbc9ddb9-60f1-44dd-bacd-a60526c6a490"/>
    <xsd:import namespace="6986ebf5-dbbf-4efc-b123-773767dc300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c9ddb9-60f1-44dd-bacd-a60526c6a4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86ebf5-dbbf-4efc-b123-773767dc300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682A48-C50A-4D09-8A91-77E7021E3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c9ddb9-60f1-44dd-bacd-a60526c6a490"/>
    <ds:schemaRef ds:uri="6986ebf5-dbbf-4efc-b123-773767dc30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63B635-FD19-4F2E-8066-678BBA0818A2}">
  <ds:schemaRefs>
    <ds:schemaRef ds:uri="http://schemas.microsoft.com/sharepoint/v3/contenttype/forms"/>
  </ds:schemaRefs>
</ds:datastoreItem>
</file>

<file path=customXml/itemProps3.xml><?xml version="1.0" encoding="utf-8"?>
<ds:datastoreItem xmlns:ds="http://schemas.openxmlformats.org/officeDocument/2006/customXml" ds:itemID="{8542814E-09AA-48BB-8B8B-C40FFC98BA74}">
  <ds:schemaRefs>
    <ds:schemaRef ds:uri="fbc9ddb9-60f1-44dd-bacd-a60526c6a490"/>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86ebf5-dbbf-4efc-b123-773767dc300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108</vt:i4>
      </vt:variant>
    </vt:vector>
  </HeadingPairs>
  <TitlesOfParts>
    <vt:vector size="122" baseType="lpstr">
      <vt:lpstr>Notes</vt:lpstr>
      <vt:lpstr>Community Inputs</vt:lpstr>
      <vt:lpstr>Program Setup</vt:lpstr>
      <vt:lpstr>Participation Rate</vt:lpstr>
      <vt:lpstr>Conservation Summary</vt:lpstr>
      <vt:lpstr>Results</vt:lpstr>
      <vt:lpstr>Community Graph</vt:lpstr>
      <vt:lpstr>===&gt; Calculations</vt:lpstr>
      <vt:lpstr>Population</vt:lpstr>
      <vt:lpstr>Demand</vt:lpstr>
      <vt:lpstr>Wells and Costs</vt:lpstr>
      <vt:lpstr>Conservation</vt:lpstr>
      <vt:lpstr>Wells with Cons &amp; Costs</vt:lpstr>
      <vt:lpstr>MPARS INV &amp; Thrive Forecast</vt:lpstr>
      <vt:lpstr>Base1</vt:lpstr>
      <vt:lpstr>Base10</vt:lpstr>
      <vt:lpstr>Base11</vt:lpstr>
      <vt:lpstr>Base12</vt:lpstr>
      <vt:lpstr>Base13</vt:lpstr>
      <vt:lpstr>Base14</vt:lpstr>
      <vt:lpstr>Base15</vt:lpstr>
      <vt:lpstr>Base2</vt:lpstr>
      <vt:lpstr>Base3</vt:lpstr>
      <vt:lpstr>Base4</vt:lpstr>
      <vt:lpstr>Base5</vt:lpstr>
      <vt:lpstr>Base6</vt:lpstr>
      <vt:lpstr>Base7</vt:lpstr>
      <vt:lpstr>Base8</vt:lpstr>
      <vt:lpstr>Base9</vt:lpstr>
      <vt:lpstr>Capacity_Trigger</vt:lpstr>
      <vt:lpstr>Capacity_Trigger_Conservation</vt:lpstr>
      <vt:lpstr>Comm_Conservation</vt:lpstr>
      <vt:lpstr>Comm_Demand</vt:lpstr>
      <vt:lpstr>Comm_Inputs</vt:lpstr>
      <vt:lpstr>Communities</vt:lpstr>
      <vt:lpstr>Community</vt:lpstr>
      <vt:lpstr>Cost1</vt:lpstr>
      <vt:lpstr>Cost10</vt:lpstr>
      <vt:lpstr>Cost11</vt:lpstr>
      <vt:lpstr>Cost12</vt:lpstr>
      <vt:lpstr>Cost13</vt:lpstr>
      <vt:lpstr>Cost14</vt:lpstr>
      <vt:lpstr>Cost15</vt:lpstr>
      <vt:lpstr>Cost2</vt:lpstr>
      <vt:lpstr>Cost3</vt:lpstr>
      <vt:lpstr>Cost4</vt:lpstr>
      <vt:lpstr>Cost5</vt:lpstr>
      <vt:lpstr>Cost6</vt:lpstr>
      <vt:lpstr>Cost7</vt:lpstr>
      <vt:lpstr>Cost8</vt:lpstr>
      <vt:lpstr>Cost9</vt:lpstr>
      <vt:lpstr>DataSourceList</vt:lpstr>
      <vt:lpstr>Implement_Year</vt:lpstr>
      <vt:lpstr>ImplYear1</vt:lpstr>
      <vt:lpstr>ImplYear10</vt:lpstr>
      <vt:lpstr>ImplYear11</vt:lpstr>
      <vt:lpstr>ImplYear12</vt:lpstr>
      <vt:lpstr>ImplYear13</vt:lpstr>
      <vt:lpstr>ImplYear14</vt:lpstr>
      <vt:lpstr>ImplYear15</vt:lpstr>
      <vt:lpstr>ImplYear2</vt:lpstr>
      <vt:lpstr>ImplYear3</vt:lpstr>
      <vt:lpstr>ImplYear4</vt:lpstr>
      <vt:lpstr>ImplYear5</vt:lpstr>
      <vt:lpstr>ImplYear6</vt:lpstr>
      <vt:lpstr>ImplYear7</vt:lpstr>
      <vt:lpstr>ImplYear8</vt:lpstr>
      <vt:lpstr>ImplYear9</vt:lpstr>
      <vt:lpstr>ImplYearsList</vt:lpstr>
      <vt:lpstr>O___M</vt:lpstr>
      <vt:lpstr>Part1</vt:lpstr>
      <vt:lpstr>Part10</vt:lpstr>
      <vt:lpstr>Part11</vt:lpstr>
      <vt:lpstr>Part12</vt:lpstr>
      <vt:lpstr>Part13</vt:lpstr>
      <vt:lpstr>Part14</vt:lpstr>
      <vt:lpstr>Part15</vt:lpstr>
      <vt:lpstr>Part2</vt:lpstr>
      <vt:lpstr>Part3</vt:lpstr>
      <vt:lpstr>Part4</vt:lpstr>
      <vt:lpstr>Part5</vt:lpstr>
      <vt:lpstr>Part6</vt:lpstr>
      <vt:lpstr>Part7</vt:lpstr>
      <vt:lpstr>Part8</vt:lpstr>
      <vt:lpstr>Part9</vt:lpstr>
      <vt:lpstr>Participation_1</vt:lpstr>
      <vt:lpstr>Participation_10</vt:lpstr>
      <vt:lpstr>Participation_11</vt:lpstr>
      <vt:lpstr>Participation_12</vt:lpstr>
      <vt:lpstr>Participation_13</vt:lpstr>
      <vt:lpstr>Participation_14</vt:lpstr>
      <vt:lpstr>Participation_15</vt:lpstr>
      <vt:lpstr>Participation_2</vt:lpstr>
      <vt:lpstr>Participation_3</vt:lpstr>
      <vt:lpstr>Participation_4</vt:lpstr>
      <vt:lpstr>Participation_5</vt:lpstr>
      <vt:lpstr>Participation_6</vt:lpstr>
      <vt:lpstr>Participation_7</vt:lpstr>
      <vt:lpstr>Participation_8</vt:lpstr>
      <vt:lpstr>Participation_9</vt:lpstr>
      <vt:lpstr>PRCT1</vt:lpstr>
      <vt:lpstr>PRCT10</vt:lpstr>
      <vt:lpstr>PRCT11</vt:lpstr>
      <vt:lpstr>PRCT12</vt:lpstr>
      <vt:lpstr>PRCT13</vt:lpstr>
      <vt:lpstr>PRCT14</vt:lpstr>
      <vt:lpstr>PRCT15</vt:lpstr>
      <vt:lpstr>PRCT2</vt:lpstr>
      <vt:lpstr>PRCT3</vt:lpstr>
      <vt:lpstr>PRCT4</vt:lpstr>
      <vt:lpstr>PRCT5</vt:lpstr>
      <vt:lpstr>PRCT6</vt:lpstr>
      <vt:lpstr>PRCT7</vt:lpstr>
      <vt:lpstr>PRCT8</vt:lpstr>
      <vt:lpstr>PRCT9</vt:lpstr>
      <vt:lpstr>Production_Per_Well_Conservation</vt:lpstr>
      <vt:lpstr>Production_Per_Well_GPD</vt:lpstr>
      <vt:lpstr>ProgramLifeTable</vt:lpstr>
      <vt:lpstr>Reduction_of_Peak</vt:lpstr>
      <vt:lpstr>Well_Cost</vt:lpstr>
      <vt:lpstr>Year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Fogler, Wilson L.</dc:creator>
  <cp:lastModifiedBy>Hess, Kristin</cp:lastModifiedBy>
  <cp:lastPrinted>2018-04-10T15:14:44Z</cp:lastPrinted>
  <dcterms:created xsi:type="dcterms:W3CDTF">2017-10-10T13:30:04Z</dcterms:created>
  <dcterms:modified xsi:type="dcterms:W3CDTF">2019-10-17T14:41:00Z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0x010100D6E076782839B649897B46AAC35C2560</vt:lpwstr>
  </property>
</Properties>
</file>